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2"/>
  </bookViews>
  <sheets>
    <sheet name="San" sheetId="1" r:id="rId1"/>
    <sheet name="Tai dam" sheetId="2" r:id="rId2"/>
    <sheet name="Dam" sheetId="3" r:id="rId3"/>
    <sheet name="Bao VL" sheetId="4" r:id="rId4"/>
    <sheet name="Dai" sheetId="5" r:id="rId5"/>
    <sheet name="Cot" sheetId="6" r:id="rId6"/>
    <sheet name="Tai khung" sheetId="7" r:id="rId7"/>
  </sheets>
  <definedNames/>
  <calcPr fullCalcOnLoad="1"/>
</workbook>
</file>

<file path=xl/sharedStrings.xml><?xml version="1.0" encoding="utf-8"?>
<sst xmlns="http://schemas.openxmlformats.org/spreadsheetml/2006/main" count="1213" uniqueCount="363">
  <si>
    <t>N</t>
  </si>
  <si>
    <t>M</t>
  </si>
  <si>
    <t>B</t>
  </si>
  <si>
    <t>C</t>
  </si>
  <si>
    <t>D</t>
  </si>
  <si>
    <t>A</t>
  </si>
  <si>
    <t>TÍNH DẦM</t>
  </si>
  <si>
    <t>b</t>
  </si>
  <si>
    <t>h</t>
  </si>
  <si>
    <r>
      <t>l</t>
    </r>
    <r>
      <rPr>
        <sz val="8"/>
        <rFont val="Arial"/>
        <family val="2"/>
      </rPr>
      <t>o=</t>
    </r>
  </si>
  <si>
    <t xml:space="preserve">a = </t>
  </si>
  <si>
    <t>Nlt</t>
  </si>
  <si>
    <t>Mlt</t>
  </si>
  <si>
    <t>e</t>
  </si>
  <si>
    <t>e'</t>
  </si>
  <si>
    <t>MÁC BÊTÔNG</t>
  </si>
  <si>
    <t>THÉP</t>
  </si>
  <si>
    <t>Rb (kN/cm2)</t>
  </si>
  <si>
    <t>Rbt (kN/cm2)</t>
  </si>
  <si>
    <t>Eb (kN/cm2)</t>
  </si>
  <si>
    <t>Rs (kN/cm2)</t>
  </si>
  <si>
    <t>Rsc (kN/cm2)</t>
  </si>
  <si>
    <t>Es (kN/cm2)</t>
  </si>
  <si>
    <t>AII</t>
  </si>
  <si>
    <t>As</t>
  </si>
  <si>
    <r>
      <t xml:space="preserve">g </t>
    </r>
    <r>
      <rPr>
        <sz val="10"/>
        <rFont val="Arial"/>
        <family val="0"/>
      </rPr>
      <t>=</t>
    </r>
  </si>
  <si>
    <t>x</t>
  </si>
  <si>
    <t>a' =</t>
  </si>
  <si>
    <r>
      <t>x</t>
    </r>
    <r>
      <rPr>
        <sz val="8"/>
        <rFont val="Arial"/>
        <family val="2"/>
      </rPr>
      <t>R =</t>
    </r>
  </si>
  <si>
    <t>ξ</t>
  </si>
  <si>
    <t>μ%</t>
  </si>
  <si>
    <t>a=</t>
  </si>
  <si>
    <t>B15</t>
  </si>
  <si>
    <t>Thép cấu tạo chọn</t>
  </si>
  <si>
    <r>
      <t>2</t>
    </r>
    <r>
      <rPr>
        <sz val="10"/>
        <rFont val="Symbol"/>
        <family val="1"/>
      </rPr>
      <t>f</t>
    </r>
    <r>
      <rPr>
        <sz val="10"/>
        <rFont val="Arial"/>
        <family val="0"/>
      </rPr>
      <t>12 có As =</t>
    </r>
  </si>
  <si>
    <r>
      <t>μ</t>
    </r>
    <r>
      <rPr>
        <vertAlign val="subscript"/>
        <sz val="13"/>
        <rFont val="Times New Roman"/>
        <family val="1"/>
      </rPr>
      <t>min</t>
    </r>
    <r>
      <rPr>
        <sz val="13"/>
        <rFont val="Times New Roman"/>
        <family val="1"/>
      </rPr>
      <t xml:space="preserve">% = </t>
    </r>
  </si>
  <si>
    <r>
      <t>μ</t>
    </r>
    <r>
      <rPr>
        <vertAlign val="subscript"/>
        <sz val="13"/>
        <rFont val="Times New Roman"/>
        <family val="1"/>
      </rPr>
      <t>max</t>
    </r>
    <r>
      <rPr>
        <sz val="13"/>
        <rFont val="Times New Roman"/>
        <family val="1"/>
      </rPr>
      <t xml:space="preserve">% = </t>
    </r>
  </si>
  <si>
    <t>ĐK</t>
  </si>
  <si>
    <r>
      <t>H1</t>
    </r>
    <r>
      <rPr>
        <sz val="10"/>
        <rFont val="Times New Roman"/>
        <family val="1"/>
      </rPr>
      <t>=</t>
    </r>
  </si>
  <si>
    <t>As'</t>
  </si>
  <si>
    <t>Tổng</t>
  </si>
  <si>
    <t>Chọn thép</t>
  </si>
  <si>
    <t>Thép</t>
  </si>
  <si>
    <t>CỘT</t>
  </si>
  <si>
    <t>Q</t>
  </si>
  <si>
    <t>φn</t>
  </si>
  <si>
    <t>Smax</t>
  </si>
  <si>
    <t>Sct</t>
  </si>
  <si>
    <t>Mác bêtông</t>
  </si>
  <si>
    <t>Lớp</t>
  </si>
  <si>
    <t>dày</t>
  </si>
  <si>
    <t xml:space="preserve">g </t>
  </si>
  <si>
    <t>n</t>
  </si>
  <si>
    <t>g</t>
  </si>
  <si>
    <t>Ô sàn</t>
  </si>
  <si>
    <t>p</t>
  </si>
  <si>
    <t>Gạch lát</t>
  </si>
  <si>
    <t>S 2</t>
  </si>
  <si>
    <t>AI</t>
  </si>
  <si>
    <t>g =</t>
  </si>
  <si>
    <t>Vữa lót</t>
  </si>
  <si>
    <t>S 3</t>
  </si>
  <si>
    <t>Rb =</t>
  </si>
  <si>
    <t>Rs   =</t>
  </si>
  <si>
    <t>b =</t>
  </si>
  <si>
    <t>Vữa trát</t>
  </si>
  <si>
    <t>S 4</t>
  </si>
  <si>
    <t>Rbt =</t>
  </si>
  <si>
    <t>Rsc =</t>
  </si>
  <si>
    <t>h =</t>
  </si>
  <si>
    <t>BTCT</t>
  </si>
  <si>
    <t>S 5</t>
  </si>
  <si>
    <t>Eb =</t>
  </si>
  <si>
    <t>Ea =</t>
  </si>
  <si>
    <t>a =</t>
  </si>
  <si>
    <t>q</t>
  </si>
  <si>
    <t>l (m)</t>
  </si>
  <si>
    <t>M nhịp</t>
  </si>
  <si>
    <t>M gối</t>
  </si>
  <si>
    <t>αm</t>
  </si>
  <si>
    <t>μ %</t>
  </si>
  <si>
    <t>ĐK thép</t>
  </si>
  <si>
    <t>Mnhịp</t>
  </si>
  <si>
    <t>Mgối</t>
  </si>
  <si>
    <t>Ghi chú:</t>
  </si>
  <si>
    <t>Giá trị màu đỏ được nhập vào</t>
  </si>
  <si>
    <t xml:space="preserve">Giá trị màu đen được tính </t>
  </si>
  <si>
    <t>Trong lúc tính nếu có sai sót mong các bạn sửa theo cho phù hợp</t>
  </si>
  <si>
    <t xml:space="preserve">TÍNH TẢI </t>
  </si>
  <si>
    <t>TỈNH TẢI</t>
  </si>
  <si>
    <t>KN/m</t>
  </si>
  <si>
    <t>l2/l1</t>
  </si>
  <si>
    <t>qtd</t>
  </si>
  <si>
    <t>Do sàn</t>
  </si>
  <si>
    <t>Bản Thân</t>
  </si>
  <si>
    <t>Tải PB</t>
  </si>
  <si>
    <t>ptd</t>
  </si>
  <si>
    <t>DẦM TRỤC A</t>
  </si>
  <si>
    <t>Từ 1 - 2</t>
  </si>
  <si>
    <t>l1</t>
  </si>
  <si>
    <t>l2</t>
  </si>
  <si>
    <t>l1'</t>
  </si>
  <si>
    <t>Từ 2 - 3</t>
  </si>
  <si>
    <t>Từ 5 - 6</t>
  </si>
  <si>
    <t>Từ 6 - 7</t>
  </si>
  <si>
    <t>Từ 7 - 8</t>
  </si>
  <si>
    <t>Từ 8 - 9</t>
  </si>
  <si>
    <t>Từ 9 -10</t>
  </si>
  <si>
    <t>DẦM TRỤC C</t>
  </si>
  <si>
    <t>DẦM TRỤC D</t>
  </si>
  <si>
    <t>Sàn</t>
  </si>
  <si>
    <t>Cao trình:</t>
  </si>
  <si>
    <t>Do tường</t>
  </si>
  <si>
    <t>DẦM TRỤC E</t>
  </si>
  <si>
    <t>HOẠT TẢI</t>
  </si>
  <si>
    <t>S 7</t>
  </si>
  <si>
    <t>S 8</t>
  </si>
  <si>
    <t>S 10</t>
  </si>
  <si>
    <t>S 11</t>
  </si>
  <si>
    <t>S 12</t>
  </si>
  <si>
    <t>S 14</t>
  </si>
  <si>
    <t>S10</t>
  </si>
  <si>
    <t>S11</t>
  </si>
  <si>
    <t>S12</t>
  </si>
  <si>
    <t>S14</t>
  </si>
  <si>
    <t>Từ 3 - 4</t>
  </si>
  <si>
    <t>Từ 4 - 5</t>
  </si>
  <si>
    <t>Giống như từ 3 - 4</t>
  </si>
  <si>
    <t>Từ 3 - 4
Từ 4 - 5</t>
  </si>
  <si>
    <r>
      <t>h</t>
    </r>
    <r>
      <rPr>
        <vertAlign val="subscript"/>
        <sz val="13"/>
        <rFont val="Times New Roman"/>
        <family val="1"/>
      </rPr>
      <t>0</t>
    </r>
    <r>
      <rPr>
        <sz val="13"/>
        <rFont val="Times New Roman"/>
        <family val="1"/>
      </rPr>
      <t xml:space="preserve"> =</t>
    </r>
  </si>
  <si>
    <t>Từ 1 - 2 
Từ 2 - 3
Từ 3 - 4
Từ 4 - 5</t>
  </si>
  <si>
    <t>TRỤC A</t>
  </si>
  <si>
    <t>Từ 9 - 10</t>
  </si>
  <si>
    <r>
      <t>α</t>
    </r>
    <r>
      <rPr>
        <vertAlign val="subscript"/>
        <sz val="12"/>
        <rFont val="Times New Roman"/>
        <family val="1"/>
      </rPr>
      <t>m</t>
    </r>
  </si>
  <si>
    <r>
      <t xml:space="preserve">2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12</t>
    </r>
  </si>
  <si>
    <r>
      <t xml:space="preserve">3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12 + 1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14</t>
    </r>
  </si>
  <si>
    <t>TRỤC C</t>
  </si>
  <si>
    <t>TRỤC D</t>
  </si>
  <si>
    <t>TRỤC E</t>
  </si>
  <si>
    <r>
      <t xml:space="preserve">2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12 </t>
    </r>
  </si>
  <si>
    <r>
      <t xml:space="preserve">2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12 + 2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14</t>
    </r>
  </si>
  <si>
    <r>
      <t xml:space="preserve">3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12 </t>
    </r>
  </si>
  <si>
    <r>
      <t xml:space="preserve">4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12 </t>
    </r>
  </si>
  <si>
    <t>As
cm2</t>
  </si>
  <si>
    <t>b
cm</t>
  </si>
  <si>
    <t>h
cm</t>
  </si>
  <si>
    <t>[M]
KN.m</t>
  </si>
  <si>
    <t>Tiết diện</t>
  </si>
  <si>
    <t>Trục A</t>
  </si>
  <si>
    <t>gama</t>
  </si>
  <si>
    <t>Chọn</t>
  </si>
  <si>
    <t>qb2 =</t>
  </si>
  <si>
    <t>qb4 =</t>
  </si>
  <si>
    <t>d=</t>
  </si>
  <si>
    <t>Rsc=</t>
  </si>
  <si>
    <t>Stt</t>
  </si>
  <si>
    <t>Trục C</t>
  </si>
  <si>
    <t>Trục E</t>
  </si>
  <si>
    <t>Trục D 1</t>
  </si>
  <si>
    <t>Trục D 2</t>
  </si>
  <si>
    <t>Gối</t>
  </si>
  <si>
    <t>Giữa</t>
  </si>
  <si>
    <t xml:space="preserve">Gối </t>
  </si>
  <si>
    <t>[M]
KN.cm</t>
  </si>
  <si>
    <t>4 ø12</t>
  </si>
  <si>
    <r>
      <t xml:space="preserve">5 </t>
    </r>
    <r>
      <rPr>
        <sz val="13"/>
        <rFont val="Symbol"/>
        <family val="1"/>
      </rPr>
      <t>F</t>
    </r>
    <r>
      <rPr>
        <sz val="13"/>
        <rFont val="Times New Roman"/>
        <family val="1"/>
      </rPr>
      <t xml:space="preserve"> 12 + 2 </t>
    </r>
    <r>
      <rPr>
        <sz val="13"/>
        <rFont val="Symbol"/>
        <family val="1"/>
      </rPr>
      <t>F</t>
    </r>
    <r>
      <rPr>
        <sz val="13"/>
        <rFont val="Times New Roman"/>
        <family val="1"/>
      </rPr>
      <t xml:space="preserve"> 14</t>
    </r>
  </si>
  <si>
    <r>
      <t xml:space="preserve">4 </t>
    </r>
    <r>
      <rPr>
        <sz val="13"/>
        <rFont val="Symbol"/>
        <family val="1"/>
      </rPr>
      <t>F</t>
    </r>
    <r>
      <rPr>
        <sz val="13"/>
        <rFont val="Times New Roman"/>
        <family val="1"/>
      </rPr>
      <t xml:space="preserve"> 12 + 1 </t>
    </r>
    <r>
      <rPr>
        <sz val="13"/>
        <rFont val="Symbol"/>
        <family val="1"/>
      </rPr>
      <t>F</t>
    </r>
    <r>
      <rPr>
        <sz val="13"/>
        <rFont val="Times New Roman"/>
        <family val="1"/>
      </rPr>
      <t xml:space="preserve"> 14</t>
    </r>
  </si>
  <si>
    <r>
      <t xml:space="preserve">4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12</t>
    </r>
  </si>
  <si>
    <r>
      <t xml:space="preserve">4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12 +2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14</t>
    </r>
  </si>
  <si>
    <r>
      <t xml:space="preserve">5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12 + 1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14</t>
    </r>
  </si>
  <si>
    <r>
      <t xml:space="preserve">5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12 </t>
    </r>
  </si>
  <si>
    <t>Trục D</t>
  </si>
  <si>
    <r>
      <t>l</t>
    </r>
    <r>
      <rPr>
        <vertAlign val="subscript"/>
        <sz val="14"/>
        <rFont val="Times New Roman"/>
        <family val="1"/>
      </rPr>
      <t>1</t>
    </r>
  </si>
  <si>
    <r>
      <t>l</t>
    </r>
    <r>
      <rPr>
        <vertAlign val="subscript"/>
        <sz val="14"/>
        <rFont val="Times New Roman"/>
        <family val="1"/>
      </rPr>
      <t>2</t>
    </r>
  </si>
  <si>
    <r>
      <t>q</t>
    </r>
    <r>
      <rPr>
        <vertAlign val="subscript"/>
        <sz val="14"/>
        <rFont val="Times New Roman"/>
        <family val="1"/>
      </rPr>
      <t>tt</t>
    </r>
  </si>
  <si>
    <t>P</t>
  </si>
  <si>
    <r>
      <t>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/</t>
    </r>
    <r>
      <rPr>
        <vertAlign val="subscript"/>
        <sz val="14"/>
        <rFont val="Times New Roman"/>
        <family val="1"/>
      </rPr>
      <t>l1</t>
    </r>
  </si>
  <si>
    <r>
      <t>m</t>
    </r>
    <r>
      <rPr>
        <vertAlign val="subscript"/>
        <sz val="14"/>
        <rFont val="Times New Roman"/>
        <family val="1"/>
      </rPr>
      <t>1</t>
    </r>
  </si>
  <si>
    <r>
      <t>m</t>
    </r>
    <r>
      <rPr>
        <vertAlign val="subscript"/>
        <sz val="14"/>
        <rFont val="Times New Roman"/>
        <family val="1"/>
      </rPr>
      <t>2</t>
    </r>
  </si>
  <si>
    <r>
      <t>k</t>
    </r>
    <r>
      <rPr>
        <vertAlign val="subscript"/>
        <sz val="14"/>
        <rFont val="Times New Roman"/>
        <family val="1"/>
      </rPr>
      <t>1</t>
    </r>
  </si>
  <si>
    <r>
      <t>k</t>
    </r>
    <r>
      <rPr>
        <vertAlign val="subscript"/>
        <sz val="14"/>
        <rFont val="Times New Roman"/>
        <family val="1"/>
      </rPr>
      <t>2</t>
    </r>
  </si>
  <si>
    <t>S 1</t>
  </si>
  <si>
    <t>S 6</t>
  </si>
  <si>
    <t>S 9</t>
  </si>
  <si>
    <t>S 13</t>
  </si>
  <si>
    <t>h0 =</t>
  </si>
  <si>
    <t>M1</t>
  </si>
  <si>
    <t>M2</t>
  </si>
  <si>
    <t>Mg1</t>
  </si>
  <si>
    <t>Mg2</t>
  </si>
  <si>
    <r>
      <t>M</t>
    </r>
    <r>
      <rPr>
        <vertAlign val="subscript"/>
        <sz val="14"/>
        <rFont val="Times New Roman"/>
        <family val="1"/>
      </rPr>
      <t>1</t>
    </r>
  </si>
  <si>
    <r>
      <t>M</t>
    </r>
    <r>
      <rPr>
        <vertAlign val="subscript"/>
        <sz val="14"/>
        <rFont val="Times New Roman"/>
        <family val="1"/>
      </rPr>
      <t>2</t>
    </r>
  </si>
  <si>
    <r>
      <t>M</t>
    </r>
    <r>
      <rPr>
        <vertAlign val="subscript"/>
        <sz val="14"/>
        <rFont val="Times New Roman"/>
        <family val="1"/>
      </rPr>
      <t>g1</t>
    </r>
  </si>
  <si>
    <r>
      <t>M</t>
    </r>
    <r>
      <rPr>
        <vertAlign val="subscript"/>
        <sz val="14"/>
        <rFont val="Times New Roman"/>
        <family val="1"/>
      </rPr>
      <t>g2</t>
    </r>
  </si>
  <si>
    <t>KNm</t>
  </si>
  <si>
    <t>a</t>
  </si>
  <si>
    <r>
      <t xml:space="preserve">2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12 + 1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14</t>
    </r>
  </si>
  <si>
    <r>
      <t xml:space="preserve">3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12</t>
    </r>
  </si>
  <si>
    <r>
      <t xml:space="preserve">3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12 + 2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14</t>
    </r>
  </si>
  <si>
    <r>
      <t xml:space="preserve">4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12 + 2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14</t>
    </r>
  </si>
  <si>
    <r>
      <t xml:space="preserve">4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12 + 1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14</t>
    </r>
  </si>
  <si>
    <r>
      <t xml:space="preserve">5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12</t>
    </r>
  </si>
  <si>
    <r>
      <t xml:space="preserve">4 </t>
    </r>
    <r>
      <rPr>
        <sz val="13"/>
        <rFont val="Symbol"/>
        <family val="1"/>
      </rPr>
      <t>F</t>
    </r>
    <r>
      <rPr>
        <sz val="13"/>
        <rFont val="Times New Roman"/>
        <family val="0"/>
      </rPr>
      <t>12</t>
    </r>
  </si>
  <si>
    <r>
      <t xml:space="preserve">6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12 + 2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14</t>
    </r>
  </si>
  <si>
    <r>
      <t xml:space="preserve">6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12 </t>
    </r>
  </si>
  <si>
    <r>
      <t xml:space="preserve">4 </t>
    </r>
    <r>
      <rPr>
        <sz val="13"/>
        <rFont val="Symbol"/>
        <family val="1"/>
      </rPr>
      <t>F</t>
    </r>
    <r>
      <rPr>
        <sz val="13"/>
        <rFont val="Times New Roman"/>
        <family val="1"/>
      </rPr>
      <t xml:space="preserve"> 12 + 2 </t>
    </r>
    <r>
      <rPr>
        <sz val="13"/>
        <rFont val="Symbol"/>
        <family val="1"/>
      </rPr>
      <t>F</t>
    </r>
    <r>
      <rPr>
        <sz val="13"/>
        <rFont val="Times New Roman"/>
        <family val="1"/>
      </rPr>
      <t xml:space="preserve"> 14</t>
    </r>
  </si>
  <si>
    <r>
      <t xml:space="preserve">6 </t>
    </r>
    <r>
      <rPr>
        <sz val="13"/>
        <rFont val="Symbol"/>
        <family val="1"/>
      </rPr>
      <t>F</t>
    </r>
    <r>
      <rPr>
        <sz val="13"/>
        <rFont val="Times New Roman"/>
        <family val="1"/>
      </rPr>
      <t xml:space="preserve"> 12</t>
    </r>
  </si>
  <si>
    <r>
      <t xml:space="preserve">5 </t>
    </r>
    <r>
      <rPr>
        <sz val="13"/>
        <rFont val="Symbol"/>
        <family val="1"/>
      </rPr>
      <t>F</t>
    </r>
    <r>
      <rPr>
        <sz val="13"/>
        <rFont val="Times New Roman"/>
        <family val="1"/>
      </rPr>
      <t xml:space="preserve"> 12</t>
    </r>
  </si>
  <si>
    <r>
      <t xml:space="preserve">6 </t>
    </r>
    <r>
      <rPr>
        <sz val="13"/>
        <rFont val="Symbol"/>
        <family val="1"/>
      </rPr>
      <t>F</t>
    </r>
    <r>
      <rPr>
        <sz val="13"/>
        <rFont val="Times New Roman"/>
        <family val="1"/>
      </rPr>
      <t xml:space="preserve"> 12 + 2 </t>
    </r>
    <r>
      <rPr>
        <sz val="13"/>
        <rFont val="Symbol"/>
        <family val="1"/>
      </rPr>
      <t>F</t>
    </r>
    <r>
      <rPr>
        <sz val="13"/>
        <rFont val="Times New Roman"/>
        <family val="1"/>
      </rPr>
      <t xml:space="preserve"> 14</t>
    </r>
  </si>
  <si>
    <t>Tầng 1</t>
  </si>
  <si>
    <t>Nhịp từ A' - A</t>
  </si>
  <si>
    <t>Nhịp từ A - B</t>
  </si>
  <si>
    <t>Nhịp từ B - C</t>
  </si>
  <si>
    <t>Nhịp từ C - D</t>
  </si>
  <si>
    <t>Nhịp từ D - E</t>
  </si>
  <si>
    <t>Nhịp từ E - E'</t>
  </si>
  <si>
    <t>Tải phân bố</t>
  </si>
  <si>
    <t>Beta</t>
  </si>
  <si>
    <t>Tỉnh tải:</t>
  </si>
  <si>
    <t>Kích thước dầm dọc</t>
  </si>
  <si>
    <t>Cao trình</t>
  </si>
  <si>
    <t>Dầm tính</t>
  </si>
  <si>
    <t>Tải tập trung</t>
  </si>
  <si>
    <t>Tại A'</t>
  </si>
  <si>
    <t>Tại A</t>
  </si>
  <si>
    <t>Tại B</t>
  </si>
  <si>
    <t>Tại C</t>
  </si>
  <si>
    <t>Tại D</t>
  </si>
  <si>
    <t>Tại E</t>
  </si>
  <si>
    <t>Tại E'</t>
  </si>
  <si>
    <t>E - D</t>
  </si>
  <si>
    <t>Hoạt tải</t>
  </si>
  <si>
    <t>Ngắn hạn</t>
  </si>
  <si>
    <r>
      <t>q</t>
    </r>
    <r>
      <rPr>
        <vertAlign val="subscript"/>
        <sz val="13"/>
        <rFont val="Times New Roman"/>
        <family val="1"/>
      </rPr>
      <t>s</t>
    </r>
  </si>
  <si>
    <r>
      <t>l</t>
    </r>
    <r>
      <rPr>
        <vertAlign val="subscript"/>
        <sz val="13"/>
        <rFont val="Times New Roman"/>
        <family val="1"/>
      </rPr>
      <t>1</t>
    </r>
  </si>
  <si>
    <r>
      <t>l</t>
    </r>
    <r>
      <rPr>
        <vertAlign val="subscript"/>
        <sz val="13"/>
        <rFont val="Times New Roman"/>
        <family val="1"/>
      </rPr>
      <t>2</t>
    </r>
  </si>
  <si>
    <r>
      <t>q</t>
    </r>
    <r>
      <rPr>
        <b/>
        <vertAlign val="subscript"/>
        <sz val="13"/>
        <rFont val="Times New Roman"/>
        <family val="1"/>
      </rPr>
      <t>tt</t>
    </r>
  </si>
  <si>
    <r>
      <t>p</t>
    </r>
    <r>
      <rPr>
        <vertAlign val="subscript"/>
        <sz val="13"/>
        <rFont val="Times New Roman"/>
        <family val="1"/>
      </rPr>
      <t>tc</t>
    </r>
  </si>
  <si>
    <r>
      <t>p</t>
    </r>
    <r>
      <rPr>
        <vertAlign val="subscript"/>
        <sz val="13"/>
        <rFont val="Times New Roman"/>
        <family val="1"/>
      </rPr>
      <t>tt</t>
    </r>
  </si>
  <si>
    <t>Tầng 2</t>
  </si>
  <si>
    <t>Tầng mái</t>
  </si>
  <si>
    <t>Tại A' + 600</t>
  </si>
  <si>
    <t>Tại E' + 600</t>
  </si>
  <si>
    <t>A'</t>
  </si>
  <si>
    <t>E</t>
  </si>
  <si>
    <t>E'</t>
  </si>
  <si>
    <t>Tập trung</t>
  </si>
  <si>
    <t>H</t>
  </si>
  <si>
    <t>λ</t>
  </si>
  <si>
    <t>y</t>
  </si>
  <si>
    <t>η</t>
  </si>
  <si>
    <t>α</t>
  </si>
  <si>
    <r>
      <t>Phần tải dài hạn để tính M</t>
    </r>
    <r>
      <rPr>
        <vertAlign val="subscript"/>
        <sz val="14"/>
        <rFont val="Times New Roman"/>
        <family val="1"/>
      </rPr>
      <t>lt</t>
    </r>
  </si>
  <si>
    <t>BẢNG TÍNH THÉP CẤU KIỆN CHỊU NÉN LỆCH TÂM CN</t>
  </si>
  <si>
    <t>TCVN 356/2005</t>
  </si>
  <si>
    <t>m</t>
  </si>
  <si>
    <t>a'</t>
  </si>
  <si>
    <t>2a'</t>
  </si>
  <si>
    <t>As=As'</t>
  </si>
  <si>
    <t>m2</t>
  </si>
  <si>
    <t>cm2</t>
  </si>
  <si>
    <t>KN.m</t>
  </si>
  <si>
    <t>KN</t>
  </si>
  <si>
    <t>Trệt</t>
  </si>
  <si>
    <t>200 x 300</t>
  </si>
  <si>
    <t>200 x 250</t>
  </si>
  <si>
    <t>Cột 1</t>
  </si>
  <si>
    <t>Cột 2</t>
  </si>
  <si>
    <t>Cột 3</t>
  </si>
  <si>
    <t>Cột 4</t>
  </si>
  <si>
    <t>Cột 5</t>
  </si>
  <si>
    <t>Cột 6</t>
  </si>
  <si>
    <t>Cột 7</t>
  </si>
  <si>
    <t>Cột 8</t>
  </si>
  <si>
    <t>Cột 9</t>
  </si>
  <si>
    <t>Cột 10</t>
  </si>
  <si>
    <t>Cột 11</t>
  </si>
  <si>
    <t>Cột 12</t>
  </si>
  <si>
    <t>Cột 13</t>
  </si>
  <si>
    <t>Cột 14</t>
  </si>
  <si>
    <t>Cột 15</t>
  </si>
  <si>
    <t>200 x 200</t>
  </si>
  <si>
    <t>lau</t>
  </si>
  <si>
    <t>Lầu 1</t>
  </si>
  <si>
    <t>Lầu 2</t>
  </si>
  <si>
    <r>
      <t xml:space="preserve">4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16</t>
    </r>
  </si>
  <si>
    <r>
      <t xml:space="preserve">4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14</t>
    </r>
  </si>
  <si>
    <t>Thông số kỹ thuật</t>
  </si>
  <si>
    <t>Trục</t>
  </si>
  <si>
    <t>Hệ số K</t>
  </si>
  <si>
    <t>Lực dọc N</t>
  </si>
  <si>
    <t>Chọn tiết diện cột</t>
  </si>
  <si>
    <t>Trọng lượng cột (kN)</t>
  </si>
  <si>
    <t>Tầng 3</t>
  </si>
  <si>
    <t>Chọn tiết diện (mm)</t>
  </si>
  <si>
    <r>
      <t>φ</t>
    </r>
    <r>
      <rPr>
        <vertAlign val="subscript"/>
        <sz val="12"/>
        <rFont val="Times New Roman"/>
        <family val="1"/>
      </rPr>
      <t>l</t>
    </r>
  </si>
  <si>
    <t>Ncr</t>
  </si>
  <si>
    <r>
      <t>e</t>
    </r>
    <r>
      <rPr>
        <vertAlign val="subscript"/>
        <sz val="12"/>
        <rFont val="Times New Roman"/>
        <family val="1"/>
      </rPr>
      <t>01</t>
    </r>
  </si>
  <si>
    <r>
      <t>e</t>
    </r>
    <r>
      <rPr>
        <vertAlign val="subscript"/>
        <sz val="12"/>
        <rFont val="Times New Roman"/>
        <family val="1"/>
      </rPr>
      <t>a</t>
    </r>
  </si>
  <si>
    <t>Ib</t>
  </si>
  <si>
    <r>
      <t>e</t>
    </r>
    <r>
      <rPr>
        <vertAlign val="subscript"/>
        <sz val="12"/>
        <rFont val="Times New Roman"/>
        <family val="1"/>
      </rPr>
      <t>o</t>
    </r>
  </si>
  <si>
    <r>
      <t>μ</t>
    </r>
    <r>
      <rPr>
        <vertAlign val="subscript"/>
        <sz val="12"/>
        <rFont val="Times New Roman"/>
        <family val="1"/>
      </rPr>
      <t>0</t>
    </r>
  </si>
  <si>
    <t>Is</t>
  </si>
  <si>
    <r>
      <t>ξ</t>
    </r>
    <r>
      <rPr>
        <vertAlign val="subscript"/>
        <sz val="12"/>
        <rFont val="Times New Roman"/>
        <family val="1"/>
      </rPr>
      <t>R</t>
    </r>
    <r>
      <rPr>
        <sz val="12"/>
        <rFont val="Times New Roman"/>
        <family val="1"/>
      </rPr>
      <t>*h0</t>
    </r>
  </si>
  <si>
    <r>
      <t>A
m</t>
    </r>
    <r>
      <rPr>
        <vertAlign val="superscript"/>
        <sz val="12"/>
        <rFont val="Times New Roman"/>
        <family val="1"/>
      </rPr>
      <t>2</t>
    </r>
  </si>
  <si>
    <t>Vị trí cột</t>
  </si>
  <si>
    <t>Lực cắt</t>
  </si>
  <si>
    <r>
      <t xml:space="preserve"> s</t>
    </r>
    <r>
      <rPr>
        <vertAlign val="subscript"/>
        <sz val="14"/>
        <rFont val="Times New Roman"/>
        <family val="1"/>
      </rPr>
      <t>t</t>
    </r>
  </si>
  <si>
    <r>
      <t>s</t>
    </r>
    <r>
      <rPr>
        <vertAlign val="subscript"/>
        <sz val="14"/>
        <rFont val="Times New Roman"/>
        <family val="1"/>
      </rPr>
      <t>ct</t>
    </r>
  </si>
  <si>
    <r>
      <t>s</t>
    </r>
    <r>
      <rPr>
        <vertAlign val="subscript"/>
        <sz val="14"/>
        <rFont val="Times New Roman"/>
        <family val="1"/>
      </rPr>
      <t>max</t>
    </r>
  </si>
  <si>
    <t xml:space="preserve">Lầu2 </t>
  </si>
  <si>
    <t>Tính thép dầm của khung trục 5</t>
  </si>
  <si>
    <t>KN/m2</t>
  </si>
  <si>
    <r>
      <t>ζ</t>
    </r>
    <r>
      <rPr>
        <vertAlign val="subscript"/>
        <sz val="12"/>
        <rFont val="Times New Roman"/>
        <family val="1"/>
      </rPr>
      <t>R</t>
    </r>
  </si>
  <si>
    <r>
      <t>E</t>
    </r>
    <r>
      <rPr>
        <vertAlign val="subscript"/>
        <sz val="12"/>
        <rFont val="Times New Roman"/>
        <family val="1"/>
      </rPr>
      <t>b</t>
    </r>
  </si>
  <si>
    <r>
      <t>E</t>
    </r>
    <r>
      <rPr>
        <vertAlign val="subscript"/>
        <sz val="12"/>
        <rFont val="Times New Roman"/>
        <family val="1"/>
      </rPr>
      <t>s</t>
    </r>
  </si>
  <si>
    <t>l0</t>
  </si>
  <si>
    <r>
      <t>γ</t>
    </r>
    <r>
      <rPr>
        <vertAlign val="subscript"/>
        <sz val="12"/>
        <rFont val="Times New Roman"/>
        <family val="1"/>
      </rPr>
      <t>b</t>
    </r>
  </si>
  <si>
    <r>
      <t>R</t>
    </r>
    <r>
      <rPr>
        <vertAlign val="subscript"/>
        <sz val="12"/>
        <rFont val="Times New Roman"/>
        <family val="1"/>
      </rPr>
      <t>b</t>
    </r>
  </si>
  <si>
    <r>
      <t>R</t>
    </r>
    <r>
      <rPr>
        <vertAlign val="subscript"/>
        <sz val="12"/>
        <rFont val="Times New Roman"/>
        <family val="1"/>
      </rPr>
      <t>sc</t>
    </r>
  </si>
  <si>
    <t>Rsw</t>
  </si>
  <si>
    <t>BT</t>
  </si>
  <si>
    <t>THEP</t>
  </si>
  <si>
    <t>pi</t>
  </si>
  <si>
    <r>
      <t>φ</t>
    </r>
    <r>
      <rPr>
        <vertAlign val="subscript"/>
        <sz val="14"/>
        <rFont val="Times New Roman"/>
        <family val="1"/>
      </rPr>
      <t>b2</t>
    </r>
  </si>
  <si>
    <r>
      <t>φ</t>
    </r>
    <r>
      <rPr>
        <vertAlign val="subscript"/>
        <sz val="14"/>
        <rFont val="Times New Roman"/>
        <family val="1"/>
      </rPr>
      <t>b4</t>
    </r>
  </si>
  <si>
    <r>
      <t>Q</t>
    </r>
    <r>
      <rPr>
        <vertAlign val="subscript"/>
        <sz val="14"/>
        <rFont val="Times New Roman"/>
        <family val="1"/>
      </rPr>
      <t>wb</t>
    </r>
  </si>
  <si>
    <t>Cốt xuyên</t>
  </si>
  <si>
    <r>
      <t>φs</t>
    </r>
    <r>
      <rPr>
        <vertAlign val="subscript"/>
        <sz val="14"/>
        <rFont val="Times New Roman"/>
        <family val="1"/>
      </rPr>
      <t>w</t>
    </r>
  </si>
  <si>
    <t>Bảng tính</t>
  </si>
  <si>
    <t>TÍNH CỘT</t>
  </si>
  <si>
    <t>Mác BT</t>
  </si>
  <si>
    <t>Dầm 1</t>
  </si>
  <si>
    <t>Dầm 2</t>
  </si>
  <si>
    <t>Dầm 3</t>
  </si>
  <si>
    <t>Dầm 4</t>
  </si>
  <si>
    <t>Dầm 5</t>
  </si>
  <si>
    <t>Dầm 6</t>
  </si>
  <si>
    <t>Dầm 7</t>
  </si>
  <si>
    <t>Dầm 8</t>
  </si>
  <si>
    <t>Dầm 9</t>
  </si>
  <si>
    <t>Dầm 10</t>
  </si>
  <si>
    <t>Dầm 11</t>
  </si>
  <si>
    <t>Dầm 12</t>
  </si>
  <si>
    <t>Dầm 13</t>
  </si>
  <si>
    <t>Dầm 14</t>
  </si>
  <si>
    <t>Dầm 15</t>
  </si>
  <si>
    <t>Dầm 16</t>
  </si>
  <si>
    <t>Dầm 17</t>
  </si>
  <si>
    <t>Dầm 18</t>
  </si>
  <si>
    <t>Cấu tạo</t>
  </si>
  <si>
    <r>
      <t xml:space="preserve">2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12 + 4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14</t>
    </r>
  </si>
  <si>
    <r>
      <t xml:space="preserve">3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12 + 4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14</t>
    </r>
  </si>
  <si>
    <r>
      <t>α</t>
    </r>
    <r>
      <rPr>
        <vertAlign val="subscript"/>
        <sz val="13"/>
        <color indexed="12"/>
        <rFont val="Times New Roman"/>
        <family val="1"/>
      </rPr>
      <t>R=</t>
    </r>
  </si>
  <si>
    <r>
      <t xml:space="preserve">5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12 + 2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14</t>
    </r>
  </si>
  <si>
    <r>
      <t>4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14</t>
    </r>
  </si>
  <si>
    <r>
      <t xml:space="preserve">2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14</t>
    </r>
  </si>
  <si>
    <r>
      <t xml:space="preserve">4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14 + 4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16</t>
    </r>
  </si>
  <si>
    <r>
      <t xml:space="preserve">4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14 + 5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16</t>
    </r>
  </si>
  <si>
    <r>
      <t xml:space="preserve">4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14 + 2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16</t>
    </r>
  </si>
  <si>
    <r>
      <t>M</t>
    </r>
    <r>
      <rPr>
        <vertAlign val="subscript"/>
        <sz val="12"/>
        <rFont val="Times New Roman"/>
        <family val="1"/>
      </rPr>
      <t>nhịp</t>
    </r>
  </si>
  <si>
    <r>
      <t>M</t>
    </r>
    <r>
      <rPr>
        <vertAlign val="subscript"/>
        <sz val="12"/>
        <rFont val="Times New Roman"/>
        <family val="1"/>
      </rPr>
      <t>gối</t>
    </r>
  </si>
  <si>
    <t>Bảng thép dầm Trục A, C, D, 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</si>
</sst>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0.0"/>
    <numFmt numFmtId="173" formatCode="0.00000000"/>
    <numFmt numFmtId="174" formatCode="0.0000000"/>
    <numFmt numFmtId="175" formatCode="0.000000"/>
    <numFmt numFmtId="176" formatCode="#,##0.0"/>
    <numFmt numFmtId="177" formatCode="#,##0.0000"/>
    <numFmt numFmtId="178" formatCode="0.0000000_);\(0.0000000\)"/>
    <numFmt numFmtId="179" formatCode="0.000000_);\(0.000000\)"/>
    <numFmt numFmtId="180" formatCode="0.00000_);\(0.00000\)"/>
    <numFmt numFmtId="181" formatCode="0.0000_);\(0.0000\)"/>
    <numFmt numFmtId="182" formatCode="0.000_);\(0.000\)"/>
    <numFmt numFmtId="183" formatCode="0.00_);\(0.00\)"/>
    <numFmt numFmtId="184" formatCode="dd\,\ mm\,\ yyyy"/>
  </numFmts>
  <fonts count="60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i/>
      <sz val="16"/>
      <name val="Arial"/>
      <family val="2"/>
    </font>
    <font>
      <sz val="10"/>
      <color indexed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Times New Roman"/>
      <family val="1"/>
    </font>
    <font>
      <vertAlign val="subscript"/>
      <sz val="13"/>
      <name val="Times New Roman"/>
      <family val="1"/>
    </font>
    <font>
      <sz val="14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2"/>
      <name val="Symbol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Symbol"/>
      <family val="1"/>
    </font>
    <font>
      <sz val="12"/>
      <color indexed="10"/>
      <name val="Times New Roman"/>
      <family val="1"/>
    </font>
    <font>
      <vertAlign val="subscript"/>
      <sz val="14"/>
      <name val="Times New Roman"/>
      <family val="1"/>
    </font>
    <font>
      <sz val="13"/>
      <color indexed="10"/>
      <name val="Times New Roman"/>
      <family val="1"/>
    </font>
    <font>
      <b/>
      <i/>
      <sz val="18"/>
      <name val="Times New Roman"/>
      <family val="1"/>
    </font>
    <font>
      <i/>
      <sz val="16"/>
      <name val="Times New Roman"/>
      <family val="1"/>
    </font>
    <font>
      <i/>
      <sz val="16"/>
      <color indexed="10"/>
      <name val="Times New Roman"/>
      <family val="1"/>
    </font>
    <font>
      <i/>
      <sz val="16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3"/>
      <name val="Times New Roman"/>
      <family val="1"/>
    </font>
    <font>
      <sz val="15"/>
      <name val="Times New Roman"/>
      <family val="1"/>
    </font>
    <font>
      <b/>
      <sz val="13"/>
      <name val="Symbol"/>
      <family val="1"/>
    </font>
    <font>
      <sz val="13"/>
      <name val="Arial"/>
      <family val="0"/>
    </font>
    <font>
      <vertAlign val="subscript"/>
      <sz val="12"/>
      <name val="Times New Roman"/>
      <family val="1"/>
    </font>
    <font>
      <sz val="12"/>
      <name val="Symbol"/>
      <family val="1"/>
    </font>
    <font>
      <b/>
      <sz val="12"/>
      <name val="Times New Roman"/>
      <family val="1"/>
    </font>
    <font>
      <b/>
      <i/>
      <u val="single"/>
      <sz val="13"/>
      <name val="Times New Roman"/>
      <family val="1"/>
    </font>
    <font>
      <b/>
      <i/>
      <u val="single"/>
      <sz val="12"/>
      <name val="Times New Roman"/>
      <family val="1"/>
    </font>
    <font>
      <sz val="13"/>
      <name val="Symbol"/>
      <family val="1"/>
    </font>
    <font>
      <b/>
      <sz val="15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b/>
      <i/>
      <u val="single"/>
      <sz val="14"/>
      <name val="Times New Roman"/>
      <family val="1"/>
    </font>
    <font>
      <b/>
      <i/>
      <sz val="14"/>
      <name val="Times New Roman"/>
      <family val="1"/>
    </font>
    <font>
      <b/>
      <vertAlign val="subscript"/>
      <sz val="13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9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Arial"/>
      <family val="0"/>
    </font>
    <font>
      <b/>
      <sz val="12"/>
      <name val="Arial"/>
      <family val="2"/>
    </font>
    <font>
      <sz val="15"/>
      <color indexed="10"/>
      <name val="Times New Roman"/>
      <family val="1"/>
    </font>
    <font>
      <sz val="14"/>
      <color indexed="9"/>
      <name val="Times New Roman"/>
      <family val="1"/>
    </font>
    <font>
      <b/>
      <sz val="16"/>
      <color indexed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0"/>
    </font>
    <font>
      <sz val="13"/>
      <color indexed="12"/>
      <name val="Times New Roman"/>
      <family val="1"/>
    </font>
    <font>
      <vertAlign val="subscript"/>
      <sz val="13"/>
      <color indexed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5" fontId="0" fillId="0" borderId="0" xfId="0" applyNumberFormat="1" applyAlignment="1">
      <alignment/>
    </xf>
    <xf numFmtId="0" fontId="9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0" fontId="12" fillId="0" borderId="1" xfId="0" applyFont="1" applyBorder="1" applyAlignment="1">
      <alignment/>
    </xf>
    <xf numFmtId="2" fontId="12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Fill="1" applyBorder="1" applyAlignment="1">
      <alignment/>
    </xf>
    <xf numFmtId="166" fontId="14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/>
    </xf>
    <xf numFmtId="4" fontId="13" fillId="0" borderId="1" xfId="0" applyNumberFormat="1" applyFont="1" applyFill="1" applyBorder="1" applyAlignment="1">
      <alignment horizontal="left"/>
    </xf>
    <xf numFmtId="2" fontId="14" fillId="0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/>
    </xf>
    <xf numFmtId="0" fontId="18" fillId="0" borderId="2" xfId="0" applyFont="1" applyBorder="1" applyAlignment="1">
      <alignment/>
    </xf>
    <xf numFmtId="0" fontId="12" fillId="0" borderId="1" xfId="0" applyFont="1" applyBorder="1" applyAlignment="1">
      <alignment horizontal="right"/>
    </xf>
    <xf numFmtId="0" fontId="19" fillId="0" borderId="1" xfId="0" applyFont="1" applyBorder="1" applyAlignment="1">
      <alignment/>
    </xf>
    <xf numFmtId="0" fontId="19" fillId="0" borderId="2" xfId="0" applyFont="1" applyBorder="1" applyAlignment="1">
      <alignment/>
    </xf>
    <xf numFmtId="166" fontId="12" fillId="0" borderId="2" xfId="0" applyNumberFormat="1" applyFont="1" applyBorder="1" applyAlignment="1">
      <alignment/>
    </xf>
    <xf numFmtId="166" fontId="13" fillId="0" borderId="0" xfId="0" applyNumberFormat="1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/>
    </xf>
    <xf numFmtId="166" fontId="13" fillId="0" borderId="1" xfId="0" applyNumberFormat="1" applyFont="1" applyFill="1" applyBorder="1" applyAlignment="1">
      <alignment horizontal="center"/>
    </xf>
    <xf numFmtId="175" fontId="13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right"/>
    </xf>
    <xf numFmtId="1" fontId="13" fillId="0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1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2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172" fontId="21" fillId="0" borderId="1" xfId="0" applyNumberFormat="1" applyFont="1" applyBorder="1" applyAlignment="1">
      <alignment/>
    </xf>
    <xf numFmtId="0" fontId="21" fillId="0" borderId="1" xfId="0" applyFont="1" applyBorder="1" applyAlignment="1">
      <alignment/>
    </xf>
    <xf numFmtId="2" fontId="27" fillId="0" borderId="1" xfId="0" applyNumberFormat="1" applyFont="1" applyBorder="1" applyAlignment="1">
      <alignment/>
    </xf>
    <xf numFmtId="2" fontId="21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29" fillId="0" borderId="1" xfId="0" applyFont="1" applyBorder="1" applyAlignment="1">
      <alignment/>
    </xf>
    <xf numFmtId="0" fontId="30" fillId="0" borderId="0" xfId="0" applyFont="1" applyAlignment="1">
      <alignment/>
    </xf>
    <xf numFmtId="0" fontId="27" fillId="0" borderId="0" xfId="0" applyFont="1" applyBorder="1" applyAlignment="1">
      <alignment vertical="center" textRotation="255"/>
    </xf>
    <xf numFmtId="0" fontId="27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165" fontId="12" fillId="0" borderId="1" xfId="0" applyNumberFormat="1" applyFont="1" applyBorder="1" applyAlignment="1">
      <alignment/>
    </xf>
    <xf numFmtId="0" fontId="19" fillId="0" borderId="1" xfId="0" applyFont="1" applyBorder="1" applyAlignment="1">
      <alignment horizontal="right"/>
    </xf>
    <xf numFmtId="172" fontId="12" fillId="0" borderId="1" xfId="0" applyNumberFormat="1" applyFont="1" applyBorder="1" applyAlignment="1">
      <alignment/>
    </xf>
    <xf numFmtId="2" fontId="19" fillId="0" borderId="1" xfId="0" applyNumberFormat="1" applyFont="1" applyBorder="1" applyAlignment="1">
      <alignment/>
    </xf>
    <xf numFmtId="0" fontId="33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34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165" fontId="9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9" fillId="0" borderId="1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2" fillId="0" borderId="1" xfId="0" applyNumberFormat="1" applyFont="1" applyBorder="1" applyAlignment="1">
      <alignment horizontal="right"/>
    </xf>
    <xf numFmtId="165" fontId="12" fillId="0" borderId="1" xfId="0" applyNumberFormat="1" applyFont="1" applyBorder="1" applyAlignment="1">
      <alignment horizontal="right"/>
    </xf>
    <xf numFmtId="172" fontId="12" fillId="0" borderId="1" xfId="0" applyNumberFormat="1" applyFont="1" applyBorder="1" applyAlignment="1">
      <alignment horizontal="right"/>
    </xf>
    <xf numFmtId="166" fontId="13" fillId="0" borderId="1" xfId="0" applyNumberFormat="1" applyFont="1" applyBorder="1" applyAlignment="1">
      <alignment/>
    </xf>
    <xf numFmtId="0" fontId="33" fillId="0" borderId="1" xfId="0" applyFont="1" applyBorder="1" applyAlignment="1">
      <alignment horizontal="right"/>
    </xf>
    <xf numFmtId="0" fontId="12" fillId="0" borderId="1" xfId="0" applyFont="1" applyFill="1" applyBorder="1" applyAlignment="1">
      <alignment horizontal="left"/>
    </xf>
    <xf numFmtId="172" fontId="19" fillId="0" borderId="1" xfId="0" applyNumberFormat="1" applyFont="1" applyBorder="1" applyAlignment="1">
      <alignment horizontal="right"/>
    </xf>
    <xf numFmtId="172" fontId="12" fillId="0" borderId="1" xfId="0" applyNumberFormat="1" applyFont="1" applyBorder="1" applyAlignment="1">
      <alignment/>
    </xf>
    <xf numFmtId="165" fontId="12" fillId="0" borderId="1" xfId="0" applyNumberFormat="1" applyFont="1" applyBorder="1" applyAlignment="1">
      <alignment/>
    </xf>
    <xf numFmtId="166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/>
    </xf>
    <xf numFmtId="176" fontId="9" fillId="0" borderId="1" xfId="0" applyNumberFormat="1" applyFont="1" applyBorder="1" applyAlignment="1">
      <alignment/>
    </xf>
    <xf numFmtId="0" fontId="9" fillId="0" borderId="1" xfId="0" applyFont="1" applyBorder="1" applyAlignment="1">
      <alignment vertical="center"/>
    </xf>
    <xf numFmtId="2" fontId="9" fillId="0" borderId="1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0" fontId="9" fillId="0" borderId="1" xfId="0" applyFont="1" applyFill="1" applyBorder="1" applyAlignment="1">
      <alignment vertical="center"/>
    </xf>
    <xf numFmtId="0" fontId="37" fillId="0" borderId="1" xfId="0" applyFont="1" applyBorder="1" applyAlignment="1">
      <alignment vertical="center"/>
    </xf>
    <xf numFmtId="0" fontId="28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166" fontId="9" fillId="0" borderId="0" xfId="0" applyNumberFormat="1" applyFont="1" applyBorder="1" applyAlignment="1">
      <alignment horizontal="right" vertical="center" wrapText="1"/>
    </xf>
    <xf numFmtId="0" fontId="38" fillId="0" borderId="1" xfId="0" applyFont="1" applyBorder="1" applyAlignment="1">
      <alignment/>
    </xf>
    <xf numFmtId="0" fontId="13" fillId="0" borderId="1" xfId="0" applyFont="1" applyBorder="1" applyAlignment="1">
      <alignment horizontal="right"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166" fontId="13" fillId="0" borderId="2" xfId="0" applyNumberFormat="1" applyFont="1" applyBorder="1" applyAlignment="1">
      <alignment/>
    </xf>
    <xf numFmtId="0" fontId="39" fillId="0" borderId="1" xfId="0" applyFont="1" applyBorder="1" applyAlignment="1">
      <alignment/>
    </xf>
    <xf numFmtId="0" fontId="14" fillId="0" borderId="2" xfId="0" applyFont="1" applyBorder="1" applyAlignment="1">
      <alignment/>
    </xf>
    <xf numFmtId="172" fontId="13" fillId="0" borderId="1" xfId="0" applyNumberFormat="1" applyFont="1" applyBorder="1" applyAlignment="1">
      <alignment/>
    </xf>
    <xf numFmtId="2" fontId="13" fillId="0" borderId="1" xfId="0" applyNumberFormat="1" applyFont="1" applyBorder="1" applyAlignment="1">
      <alignment/>
    </xf>
    <xf numFmtId="0" fontId="13" fillId="0" borderId="3" xfId="0" applyFont="1" applyBorder="1" applyAlignment="1">
      <alignment/>
    </xf>
    <xf numFmtId="172" fontId="13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0" fontId="13" fillId="0" borderId="4" xfId="0" applyFont="1" applyBorder="1" applyAlignment="1">
      <alignment/>
    </xf>
    <xf numFmtId="172" fontId="13" fillId="0" borderId="1" xfId="0" applyNumberFormat="1" applyFont="1" applyFill="1" applyBorder="1" applyAlignment="1">
      <alignment horizontal="center"/>
    </xf>
    <xf numFmtId="172" fontId="13" fillId="0" borderId="1" xfId="0" applyNumberFormat="1" applyFont="1" applyFill="1" applyBorder="1" applyAlignment="1">
      <alignment/>
    </xf>
    <xf numFmtId="0" fontId="25" fillId="0" borderId="5" xfId="0" applyFont="1" applyBorder="1" applyAlignment="1">
      <alignment vertical="center"/>
    </xf>
    <xf numFmtId="171" fontId="9" fillId="0" borderId="0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12" fillId="0" borderId="2" xfId="0" applyFont="1" applyFill="1" applyBorder="1" applyAlignment="1">
      <alignment/>
    </xf>
    <xf numFmtId="171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2" fontId="19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vertical="center"/>
    </xf>
    <xf numFmtId="166" fontId="9" fillId="0" borderId="7" xfId="0" applyNumberFormat="1" applyFont="1" applyBorder="1" applyAlignment="1">
      <alignment horizontal="right" vertical="center" wrapText="1"/>
    </xf>
    <xf numFmtId="165" fontId="9" fillId="0" borderId="7" xfId="0" applyNumberFormat="1" applyFont="1" applyBorder="1" applyAlignment="1">
      <alignment/>
    </xf>
    <xf numFmtId="166" fontId="9" fillId="0" borderId="1" xfId="0" applyNumberFormat="1" applyFont="1" applyBorder="1" applyAlignment="1">
      <alignment horizontal="right"/>
    </xf>
    <xf numFmtId="0" fontId="37" fillId="0" borderId="7" xfId="0" applyFont="1" applyBorder="1" applyAlignment="1">
      <alignment vertical="center"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 horizontal="right"/>
    </xf>
    <xf numFmtId="176" fontId="9" fillId="0" borderId="7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horizontal="right"/>
    </xf>
    <xf numFmtId="0" fontId="9" fillId="0" borderId="8" xfId="0" applyFont="1" applyBorder="1" applyAlignment="1">
      <alignment/>
    </xf>
    <xf numFmtId="165" fontId="9" fillId="0" borderId="8" xfId="0" applyNumberFormat="1" applyFont="1" applyBorder="1" applyAlignment="1">
      <alignment/>
    </xf>
    <xf numFmtId="176" fontId="9" fillId="0" borderId="8" xfId="0" applyNumberFormat="1" applyFont="1" applyBorder="1" applyAlignment="1">
      <alignment/>
    </xf>
    <xf numFmtId="0" fontId="40" fillId="0" borderId="0" xfId="0" applyFont="1" applyAlignment="1">
      <alignment/>
    </xf>
    <xf numFmtId="0" fontId="9" fillId="0" borderId="0" xfId="0" applyFont="1" applyAlignment="1">
      <alignment horizontal="center"/>
    </xf>
    <xf numFmtId="0" fontId="27" fillId="0" borderId="1" xfId="0" applyFont="1" applyBorder="1" applyAlignment="1">
      <alignment/>
    </xf>
    <xf numFmtId="1" fontId="9" fillId="0" borderId="1" xfId="0" applyNumberFormat="1" applyFont="1" applyBorder="1" applyAlignment="1">
      <alignment/>
    </xf>
    <xf numFmtId="172" fontId="9" fillId="0" borderId="1" xfId="0" applyNumberFormat="1" applyFont="1" applyBorder="1" applyAlignment="1">
      <alignment/>
    </xf>
    <xf numFmtId="166" fontId="9" fillId="0" borderId="1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4" fontId="19" fillId="0" borderId="0" xfId="0" applyNumberFormat="1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12" fillId="2" borderId="0" xfId="0" applyFont="1" applyFill="1" applyAlignment="1">
      <alignment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 applyProtection="1" quotePrefix="1">
      <alignment horizontal="center" vertical="center"/>
      <protection locked="0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166" fontId="46" fillId="0" borderId="0" xfId="0" applyNumberFormat="1" applyFont="1" applyFill="1" applyBorder="1" applyAlignment="1" applyProtection="1">
      <alignment horizontal="center" vertical="center"/>
      <protection hidden="1" locked="0"/>
    </xf>
    <xf numFmtId="0" fontId="45" fillId="0" borderId="0" xfId="0" applyNumberFormat="1" applyFont="1" applyFill="1" applyBorder="1" applyAlignment="1" applyProtection="1">
      <alignment horizontal="center" vertical="center"/>
      <protection locked="0"/>
    </xf>
    <xf numFmtId="2" fontId="46" fillId="0" borderId="0" xfId="0" applyNumberFormat="1" applyFont="1" applyFill="1" applyBorder="1" applyAlignment="1" applyProtection="1">
      <alignment horizontal="center" vertical="center"/>
      <protection hidden="1" locked="0"/>
    </xf>
    <xf numFmtId="0" fontId="47" fillId="0" borderId="0" xfId="0" applyFont="1" applyFill="1" applyBorder="1" applyAlignment="1">
      <alignment horizontal="left" inden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hidden="1"/>
    </xf>
    <xf numFmtId="0" fontId="12" fillId="3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2" fontId="19" fillId="0" borderId="0" xfId="0" applyNumberFormat="1" applyFont="1" applyAlignment="1">
      <alignment/>
    </xf>
    <xf numFmtId="0" fontId="12" fillId="4" borderId="0" xfId="0" applyFont="1" applyFill="1" applyAlignment="1">
      <alignment/>
    </xf>
    <xf numFmtId="0" fontId="47" fillId="0" borderId="0" xfId="0" applyFont="1" applyFill="1" applyBorder="1" applyAlignment="1">
      <alignment horizontal="center"/>
    </xf>
    <xf numFmtId="0" fontId="12" fillId="5" borderId="0" xfId="0" applyFont="1" applyFill="1" applyAlignment="1">
      <alignment/>
    </xf>
    <xf numFmtId="166" fontId="12" fillId="0" borderId="1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0" fontId="13" fillId="0" borderId="1" xfId="0" applyFont="1" applyBorder="1" applyAlignment="1">
      <alignment horizontal="left" vertical="center"/>
    </xf>
    <xf numFmtId="2" fontId="13" fillId="0" borderId="1" xfId="0" applyNumberFormat="1" applyFont="1" applyBorder="1" applyAlignment="1">
      <alignment vertical="center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2" fillId="0" borderId="1" xfId="0" applyFont="1" applyBorder="1" applyAlignment="1">
      <alignment horizontal="right" vertical="center" wrapText="1"/>
    </xf>
    <xf numFmtId="0" fontId="5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51" fillId="0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0" fontId="51" fillId="0" borderId="0" xfId="0" applyFont="1" applyAlignment="1">
      <alignment/>
    </xf>
    <xf numFmtId="0" fontId="18" fillId="0" borderId="0" xfId="0" applyFont="1" applyAlignment="1">
      <alignment/>
    </xf>
    <xf numFmtId="0" fontId="5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32" fillId="0" borderId="0" xfId="0" applyFont="1" applyAlignment="1">
      <alignment/>
    </xf>
    <xf numFmtId="165" fontId="12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165" fontId="12" fillId="0" borderId="0" xfId="0" applyNumberFormat="1" applyFont="1" applyBorder="1" applyAlignment="1">
      <alignment/>
    </xf>
    <xf numFmtId="0" fontId="12" fillId="0" borderId="0" xfId="0" applyFont="1" applyAlignment="1">
      <alignment horizontal="center"/>
    </xf>
    <xf numFmtId="2" fontId="12" fillId="0" borderId="0" xfId="0" applyNumberFormat="1" applyFont="1" applyBorder="1" applyAlignment="1">
      <alignment/>
    </xf>
    <xf numFmtId="2" fontId="14" fillId="0" borderId="1" xfId="0" applyNumberFormat="1" applyFont="1" applyBorder="1" applyAlignment="1">
      <alignment vertical="center"/>
    </xf>
    <xf numFmtId="2" fontId="14" fillId="0" borderId="1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2" fontId="54" fillId="0" borderId="1" xfId="0" applyNumberFormat="1" applyFont="1" applyBorder="1" applyAlignment="1">
      <alignment/>
    </xf>
    <xf numFmtId="166" fontId="12" fillId="0" borderId="0" xfId="0" applyNumberFormat="1" applyFont="1" applyBorder="1" applyAlignment="1">
      <alignment/>
    </xf>
    <xf numFmtId="166" fontId="19" fillId="2" borderId="0" xfId="0" applyNumberFormat="1" applyFont="1" applyFill="1" applyBorder="1" applyAlignment="1">
      <alignment/>
    </xf>
    <xf numFmtId="0" fontId="19" fillId="0" borderId="0" xfId="0" applyFont="1" applyBorder="1" applyAlignment="1">
      <alignment horizontal="left"/>
    </xf>
    <xf numFmtId="0" fontId="54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83" fontId="13" fillId="0" borderId="2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 applyProtection="1">
      <alignment vertical="center"/>
      <protection locked="0"/>
    </xf>
    <xf numFmtId="2" fontId="13" fillId="0" borderId="6" xfId="0" applyNumberFormat="1" applyFont="1" applyBorder="1" applyAlignment="1">
      <alignment horizontal="center" vertical="center" wrapText="1"/>
    </xf>
    <xf numFmtId="2" fontId="13" fillId="0" borderId="6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left"/>
    </xf>
    <xf numFmtId="0" fontId="15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/>
    </xf>
    <xf numFmtId="0" fontId="17" fillId="0" borderId="0" xfId="0" applyFont="1" applyBorder="1" applyAlignment="1">
      <alignment horizontal="left"/>
    </xf>
    <xf numFmtId="0" fontId="19" fillId="2" borderId="0" xfId="0" applyFont="1" applyFill="1" applyBorder="1" applyAlignment="1">
      <alignment/>
    </xf>
    <xf numFmtId="164" fontId="1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/>
    </xf>
    <xf numFmtId="0" fontId="56" fillId="6" borderId="9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 horizontal="right"/>
    </xf>
    <xf numFmtId="0" fontId="27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53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171" fontId="58" fillId="0" borderId="0" xfId="0" applyNumberFormat="1" applyFont="1" applyBorder="1" applyAlignment="1">
      <alignment horizontal="center" vertical="center"/>
    </xf>
    <xf numFmtId="4" fontId="44" fillId="0" borderId="1" xfId="0" applyNumberFormat="1" applyFont="1" applyBorder="1" applyAlignment="1">
      <alignment horizontal="center" vertical="center" wrapText="1"/>
    </xf>
    <xf numFmtId="0" fontId="44" fillId="0" borderId="1" xfId="0" applyFont="1" applyBorder="1" applyAlignment="1">
      <alignment/>
    </xf>
    <xf numFmtId="2" fontId="44" fillId="0" borderId="1" xfId="0" applyNumberFormat="1" applyFont="1" applyBorder="1" applyAlignment="1">
      <alignment/>
    </xf>
    <xf numFmtId="172" fontId="44" fillId="0" borderId="1" xfId="0" applyNumberFormat="1" applyFont="1" applyBorder="1" applyAlignment="1">
      <alignment/>
    </xf>
    <xf numFmtId="172" fontId="44" fillId="0" borderId="1" xfId="0" applyNumberFormat="1" applyFont="1" applyBorder="1" applyAlignment="1">
      <alignment horizontal="right"/>
    </xf>
    <xf numFmtId="0" fontId="22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textRotation="255"/>
    </xf>
    <xf numFmtId="0" fontId="21" fillId="0" borderId="0" xfId="0" applyFont="1" applyAlignment="1">
      <alignment horizontal="right"/>
    </xf>
    <xf numFmtId="0" fontId="27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3" fillId="0" borderId="10" xfId="0" applyFont="1" applyBorder="1" applyAlignment="1">
      <alignment horizontal="center"/>
    </xf>
    <xf numFmtId="0" fontId="9" fillId="0" borderId="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49" fontId="55" fillId="0" borderId="12" xfId="0" applyNumberFormat="1" applyFont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2" fontId="9" fillId="0" borderId="4" xfId="0" applyNumberFormat="1" applyFont="1" applyBorder="1" applyAlignment="1">
      <alignment horizontal="right" vertical="center"/>
    </xf>
    <xf numFmtId="2" fontId="9" fillId="0" borderId="15" xfId="0" applyNumberFormat="1" applyFont="1" applyBorder="1" applyAlignment="1">
      <alignment horizontal="right" vertical="center"/>
    </xf>
    <xf numFmtId="2" fontId="9" fillId="0" borderId="7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A10">
      <selection activeCell="F46" sqref="F46"/>
    </sheetView>
  </sheetViews>
  <sheetFormatPr defaultColWidth="9.140625" defaultRowHeight="12.75"/>
  <cols>
    <col min="1" max="1" width="7.57421875" style="0" customWidth="1"/>
    <col min="2" max="2" width="10.140625" style="0" bestFit="1" customWidth="1"/>
    <col min="3" max="3" width="7.140625" style="0" bestFit="1" customWidth="1"/>
    <col min="4" max="4" width="8.8515625" style="0" bestFit="1" customWidth="1"/>
    <col min="5" max="5" width="8.421875" style="0" bestFit="1" customWidth="1"/>
    <col min="6" max="6" width="8.28125" style="0" customWidth="1"/>
    <col min="8" max="8" width="11.00390625" style="0" customWidth="1"/>
    <col min="9" max="9" width="6.57421875" style="0" customWidth="1"/>
    <col min="10" max="10" width="7.28125" style="0" customWidth="1"/>
    <col min="11" max="11" width="8.140625" style="20" customWidth="1"/>
    <col min="12" max="12" width="8.00390625" style="20" customWidth="1"/>
    <col min="13" max="13" width="8.8515625" style="20" bestFit="1" customWidth="1"/>
    <col min="14" max="14" width="7.57421875" style="20" bestFit="1" customWidth="1"/>
    <col min="15" max="15" width="9.140625" style="20" customWidth="1"/>
  </cols>
  <sheetData>
    <row r="1" spans="1:14" ht="20.25">
      <c r="A1" s="21"/>
      <c r="B1" s="22" t="s">
        <v>49</v>
      </c>
      <c r="C1" s="22" t="s">
        <v>50</v>
      </c>
      <c r="D1" s="23" t="s">
        <v>51</v>
      </c>
      <c r="E1" s="22" t="s">
        <v>52</v>
      </c>
      <c r="F1" s="22" t="s">
        <v>53</v>
      </c>
      <c r="G1" s="24" t="s">
        <v>54</v>
      </c>
      <c r="H1" s="25" t="s">
        <v>55</v>
      </c>
      <c r="I1" s="25"/>
      <c r="J1" s="25"/>
      <c r="K1" s="25"/>
      <c r="L1" s="25"/>
      <c r="M1" s="25"/>
      <c r="N1" s="25"/>
    </row>
    <row r="2" spans="1:14" ht="18.75">
      <c r="A2" s="21"/>
      <c r="B2" s="26" t="s">
        <v>56</v>
      </c>
      <c r="C2" s="27">
        <v>0.02</v>
      </c>
      <c r="D2" s="28">
        <v>20</v>
      </c>
      <c r="E2" s="28">
        <v>1.1</v>
      </c>
      <c r="F2" s="29">
        <f>C2*D2*E2</f>
        <v>0.44000000000000006</v>
      </c>
      <c r="G2" s="30" t="s">
        <v>57</v>
      </c>
      <c r="H2" s="31">
        <v>2.6</v>
      </c>
      <c r="I2" s="18" t="s">
        <v>48</v>
      </c>
      <c r="J2" s="32" t="s">
        <v>32</v>
      </c>
      <c r="K2" s="42" t="s">
        <v>42</v>
      </c>
      <c r="L2" s="134" t="s">
        <v>58</v>
      </c>
      <c r="M2" s="139" t="s">
        <v>59</v>
      </c>
      <c r="N2" s="140">
        <v>0.85</v>
      </c>
    </row>
    <row r="3" spans="1:14" ht="18.75">
      <c r="A3" s="21"/>
      <c r="B3" s="26" t="s">
        <v>60</v>
      </c>
      <c r="C3" s="27">
        <v>0.02</v>
      </c>
      <c r="D3" s="28">
        <v>18</v>
      </c>
      <c r="E3" s="28">
        <v>1.2</v>
      </c>
      <c r="F3" s="29">
        <f>C3*D3*E3</f>
        <v>0.432</v>
      </c>
      <c r="G3" s="30" t="s">
        <v>61</v>
      </c>
      <c r="H3" s="31">
        <v>3.6</v>
      </c>
      <c r="I3" s="34" t="s">
        <v>62</v>
      </c>
      <c r="J3" s="35">
        <f>0.85*10^4</f>
        <v>8500</v>
      </c>
      <c r="K3" s="135" t="s">
        <v>63</v>
      </c>
      <c r="L3" s="136">
        <v>225000</v>
      </c>
      <c r="M3" s="42" t="s">
        <v>64</v>
      </c>
      <c r="N3" s="137">
        <v>1</v>
      </c>
    </row>
    <row r="4" spans="1:14" ht="18.75">
      <c r="A4" s="21"/>
      <c r="B4" s="26" t="s">
        <v>65</v>
      </c>
      <c r="C4" s="27">
        <v>0.015</v>
      </c>
      <c r="D4" s="28">
        <v>18</v>
      </c>
      <c r="E4" s="28">
        <v>1.2</v>
      </c>
      <c r="F4" s="29">
        <f>C4*D4*E4</f>
        <v>0.324</v>
      </c>
      <c r="G4" s="30" t="s">
        <v>66</v>
      </c>
      <c r="H4" s="31">
        <v>3.6</v>
      </c>
      <c r="I4" s="34" t="s">
        <v>67</v>
      </c>
      <c r="J4" s="35">
        <v>750</v>
      </c>
      <c r="K4" s="135" t="s">
        <v>68</v>
      </c>
      <c r="L4" s="136">
        <v>225000</v>
      </c>
      <c r="M4" s="42" t="s">
        <v>69</v>
      </c>
      <c r="N4" s="138">
        <f>C5</f>
        <v>0.08</v>
      </c>
    </row>
    <row r="5" spans="1:14" ht="18.75">
      <c r="A5" s="21"/>
      <c r="B5" s="26" t="s">
        <v>70</v>
      </c>
      <c r="C5" s="27">
        <v>0.08</v>
      </c>
      <c r="D5" s="28">
        <v>25</v>
      </c>
      <c r="E5" s="28">
        <v>1.1</v>
      </c>
      <c r="F5" s="29">
        <f>C5*D5*E5</f>
        <v>2.2</v>
      </c>
      <c r="G5" s="30" t="s">
        <v>71</v>
      </c>
      <c r="H5" s="31">
        <v>3.6</v>
      </c>
      <c r="I5" s="34" t="s">
        <v>72</v>
      </c>
      <c r="J5" s="35">
        <v>240000</v>
      </c>
      <c r="K5" s="135" t="s">
        <v>73</v>
      </c>
      <c r="L5" s="136">
        <v>2100000</v>
      </c>
      <c r="M5" s="42" t="s">
        <v>74</v>
      </c>
      <c r="N5" s="137">
        <v>0.015</v>
      </c>
    </row>
    <row r="6" spans="1:14" ht="18.75">
      <c r="A6" s="21"/>
      <c r="B6" s="26" t="s">
        <v>40</v>
      </c>
      <c r="C6" s="26"/>
      <c r="D6" s="26"/>
      <c r="E6" s="26"/>
      <c r="F6" s="29">
        <f>SUM(F2:F5)</f>
        <v>3.3960000000000004</v>
      </c>
      <c r="G6" s="20"/>
      <c r="H6" s="20"/>
      <c r="I6" s="20"/>
      <c r="J6" s="20"/>
      <c r="M6" s="20" t="s">
        <v>185</v>
      </c>
      <c r="N6" s="38">
        <f>N4-N5</f>
        <v>0.065</v>
      </c>
    </row>
    <row r="7" spans="1:10" ht="18.75">
      <c r="A7" s="39" t="s">
        <v>54</v>
      </c>
      <c r="B7" s="40" t="s">
        <v>75</v>
      </c>
      <c r="C7" s="40" t="s">
        <v>76</v>
      </c>
      <c r="D7" s="40" t="s">
        <v>77</v>
      </c>
      <c r="E7" s="40" t="s">
        <v>78</v>
      </c>
      <c r="F7" s="20"/>
      <c r="G7" s="20"/>
      <c r="H7" s="20"/>
      <c r="I7" s="20"/>
      <c r="J7" s="20"/>
    </row>
    <row r="8" spans="1:10" ht="18.75" hidden="1">
      <c r="A8" s="26" t="s">
        <v>57</v>
      </c>
      <c r="B8" s="147">
        <v>8.6</v>
      </c>
      <c r="C8" s="26">
        <v>3.5</v>
      </c>
      <c r="D8" s="112">
        <v>4.389583333333333</v>
      </c>
      <c r="E8" s="112">
        <v>8.779166666666667</v>
      </c>
      <c r="F8" s="20"/>
      <c r="G8" s="20"/>
      <c r="H8" s="20"/>
      <c r="I8" s="20"/>
      <c r="J8" s="20"/>
    </row>
    <row r="9" spans="1:10" ht="18.75">
      <c r="A9" s="26" t="s">
        <v>115</v>
      </c>
      <c r="B9" s="147">
        <v>6</v>
      </c>
      <c r="C9" s="148">
        <v>1</v>
      </c>
      <c r="D9" s="112">
        <f aca="true" t="shared" si="0" ref="D9:D14">(B9*C9*C9)/24</f>
        <v>0.25</v>
      </c>
      <c r="E9" s="112">
        <f aca="true" t="shared" si="1" ref="E9:E14">(B9*C9*C9)/12</f>
        <v>0.5</v>
      </c>
      <c r="F9" s="20"/>
      <c r="G9" s="20"/>
      <c r="H9" s="20"/>
      <c r="I9" s="20"/>
      <c r="J9" s="20"/>
    </row>
    <row r="10" spans="1:10" ht="18.75">
      <c r="A10" s="26" t="s">
        <v>116</v>
      </c>
      <c r="B10" s="147">
        <v>7</v>
      </c>
      <c r="C10" s="148">
        <v>2</v>
      </c>
      <c r="D10" s="112">
        <f t="shared" si="0"/>
        <v>1.1666666666666667</v>
      </c>
      <c r="E10" s="112">
        <f t="shared" si="1"/>
        <v>2.3333333333333335</v>
      </c>
      <c r="F10" s="20"/>
      <c r="G10" s="20"/>
      <c r="H10" s="20"/>
      <c r="I10" s="20"/>
      <c r="J10" s="20"/>
    </row>
    <row r="11" spans="1:10" ht="18.75">
      <c r="A11" s="26" t="s">
        <v>117</v>
      </c>
      <c r="B11" s="147">
        <v>7</v>
      </c>
      <c r="C11" s="26">
        <v>1.2</v>
      </c>
      <c r="D11" s="112">
        <f t="shared" si="0"/>
        <v>0.42</v>
      </c>
      <c r="E11" s="112">
        <f t="shared" si="1"/>
        <v>0.84</v>
      </c>
      <c r="F11" s="20"/>
      <c r="G11" s="20"/>
      <c r="H11" s="20"/>
      <c r="I11" s="20"/>
      <c r="J11" s="20"/>
    </row>
    <row r="12" spans="1:10" ht="18.75">
      <c r="A12" s="26" t="s">
        <v>118</v>
      </c>
      <c r="B12" s="147">
        <v>7</v>
      </c>
      <c r="C12" s="26">
        <v>1.5</v>
      </c>
      <c r="D12" s="112">
        <f t="shared" si="0"/>
        <v>0.65625</v>
      </c>
      <c r="E12" s="112">
        <f t="shared" si="1"/>
        <v>1.3125</v>
      </c>
      <c r="F12" s="20"/>
      <c r="G12" s="20"/>
      <c r="H12" s="20"/>
      <c r="I12" s="20"/>
      <c r="J12" s="20"/>
    </row>
    <row r="13" spans="1:10" ht="18.75">
      <c r="A13" s="26" t="s">
        <v>119</v>
      </c>
      <c r="B13" s="147">
        <v>7</v>
      </c>
      <c r="C13" s="26">
        <v>1.5</v>
      </c>
      <c r="D13" s="112">
        <f t="shared" si="0"/>
        <v>0.65625</v>
      </c>
      <c r="E13" s="112">
        <f t="shared" si="1"/>
        <v>1.3125</v>
      </c>
      <c r="F13" s="20"/>
      <c r="G13" s="20"/>
      <c r="H13" s="20"/>
      <c r="I13" s="20"/>
      <c r="J13" s="20"/>
    </row>
    <row r="14" spans="1:10" ht="18.75">
      <c r="A14" s="26" t="s">
        <v>120</v>
      </c>
      <c r="B14" s="147">
        <v>7</v>
      </c>
      <c r="C14" s="26">
        <v>1.2</v>
      </c>
      <c r="D14" s="112">
        <f t="shared" si="0"/>
        <v>0.42</v>
      </c>
      <c r="E14" s="112">
        <f t="shared" si="1"/>
        <v>0.84</v>
      </c>
      <c r="F14" s="20"/>
      <c r="G14" s="20"/>
      <c r="H14" s="20"/>
      <c r="I14" s="20"/>
      <c r="J14" s="20"/>
    </row>
    <row r="15" spans="1:15" ht="18.75">
      <c r="A15" s="21"/>
      <c r="B15" s="20"/>
      <c r="C15" s="20"/>
      <c r="D15" s="20"/>
      <c r="E15" s="20"/>
      <c r="F15" s="20"/>
      <c r="G15" s="20"/>
      <c r="H15" s="20"/>
      <c r="I15" s="20"/>
      <c r="J15" s="20"/>
      <c r="L15" s="57"/>
      <c r="M15" s="57"/>
      <c r="N15" s="57"/>
      <c r="O15" s="57"/>
    </row>
    <row r="16" spans="1:15" ht="18" customHeight="1">
      <c r="A16" s="41" t="s">
        <v>54</v>
      </c>
      <c r="B16" s="42"/>
      <c r="C16" s="28" t="s">
        <v>1</v>
      </c>
      <c r="D16" s="43" t="s">
        <v>79</v>
      </c>
      <c r="E16" s="43" t="s">
        <v>29</v>
      </c>
      <c r="F16" s="44" t="s">
        <v>24</v>
      </c>
      <c r="G16" s="28" t="s">
        <v>80</v>
      </c>
      <c r="H16" s="45" t="s">
        <v>81</v>
      </c>
      <c r="I16" s="40" t="s">
        <v>195</v>
      </c>
      <c r="J16" s="20"/>
      <c r="L16" s="59"/>
      <c r="M16" s="59"/>
      <c r="N16" s="59"/>
      <c r="O16" s="57"/>
    </row>
    <row r="17" spans="1:15" ht="0.75" customHeight="1" hidden="1">
      <c r="A17" s="286" t="s">
        <v>57</v>
      </c>
      <c r="B17" s="28" t="s">
        <v>82</v>
      </c>
      <c r="C17" s="43">
        <f>D8</f>
        <v>4.389583333333333</v>
      </c>
      <c r="D17" s="46">
        <f aca="true" t="shared" si="2" ref="D17:D30">C17/($N$2*$N$3*$J$3*$N$6*$N$6)</f>
        <v>0.14379994949598357</v>
      </c>
      <c r="E17" s="46">
        <f aca="true" t="shared" si="3" ref="E17:E30">1-SQRT(1-2*D17)</f>
        <v>0.15596202632344036</v>
      </c>
      <c r="F17" s="46">
        <f>((E17*$N$2*$J$3*$N$3*$N$6)/$L$3)*10000</f>
        <v>3.2552740716509194</v>
      </c>
      <c r="G17" s="46">
        <f>F17/($N$3*$N$6)/100</f>
        <v>0.500811395638603</v>
      </c>
      <c r="H17" s="47">
        <f>IF(F17&lt;1.7,6,8)</f>
        <v>8</v>
      </c>
      <c r="I17" s="42">
        <v>150</v>
      </c>
      <c r="J17" s="20"/>
      <c r="L17" s="57"/>
      <c r="M17" s="57"/>
      <c r="N17" s="57"/>
      <c r="O17" s="57"/>
    </row>
    <row r="18" spans="1:10" ht="18.75" hidden="1">
      <c r="A18" s="286"/>
      <c r="B18" s="28" t="s">
        <v>83</v>
      </c>
      <c r="C18" s="43">
        <f>E8</f>
        <v>8.779166666666667</v>
      </c>
      <c r="D18" s="46">
        <f t="shared" si="2"/>
        <v>0.28759989899196714</v>
      </c>
      <c r="E18" s="46">
        <f t="shared" si="3"/>
        <v>0.3482330155522867</v>
      </c>
      <c r="F18" s="46">
        <f aca="true" t="shared" si="4" ref="F18:F30">((E18*$N$2*$J$3*$N$3*$N$6)/$L$3)*10000</f>
        <v>7.268396885721896</v>
      </c>
      <c r="G18" s="46">
        <f aca="true" t="shared" si="5" ref="G18:G30">F18/($N$3*$N$6)/100</f>
        <v>1.1182149054956763</v>
      </c>
      <c r="H18" s="47">
        <f aca="true" t="shared" si="6" ref="H18:H30">IF(F18&lt;1.7,6,8)</f>
        <v>8</v>
      </c>
      <c r="I18" s="42">
        <v>100</v>
      </c>
      <c r="J18" s="20"/>
    </row>
    <row r="19" spans="1:10" ht="18.75">
      <c r="A19" s="286" t="s">
        <v>115</v>
      </c>
      <c r="B19" s="28" t="s">
        <v>82</v>
      </c>
      <c r="C19" s="43">
        <f>D9</f>
        <v>0.25</v>
      </c>
      <c r="D19" s="46">
        <f t="shared" si="2"/>
        <v>0.008189840502856207</v>
      </c>
      <c r="E19" s="46">
        <f t="shared" si="3"/>
        <v>0.008223654751592924</v>
      </c>
      <c r="F19" s="46">
        <f t="shared" si="4"/>
        <v>0.17164594945408118</v>
      </c>
      <c r="G19" s="46">
        <f t="shared" si="5"/>
        <v>0.02640706914678172</v>
      </c>
      <c r="H19" s="47">
        <f t="shared" si="6"/>
        <v>6</v>
      </c>
      <c r="I19" s="42">
        <v>150</v>
      </c>
      <c r="J19" s="20"/>
    </row>
    <row r="20" spans="1:10" ht="18.75">
      <c r="A20" s="286"/>
      <c r="B20" s="28" t="s">
        <v>83</v>
      </c>
      <c r="C20" s="43">
        <f>E9</f>
        <v>0.5</v>
      </c>
      <c r="D20" s="46">
        <f t="shared" si="2"/>
        <v>0.016379681005712413</v>
      </c>
      <c r="E20" s="46">
        <f t="shared" si="3"/>
        <v>0.016516071311495573</v>
      </c>
      <c r="F20" s="46">
        <f t="shared" si="4"/>
        <v>0.3447271106516048</v>
      </c>
      <c r="G20" s="46">
        <f t="shared" si="5"/>
        <v>0.05303494010024688</v>
      </c>
      <c r="H20" s="47">
        <f t="shared" si="6"/>
        <v>6</v>
      </c>
      <c r="I20" s="42">
        <v>150</v>
      </c>
      <c r="J20" s="20"/>
    </row>
    <row r="21" spans="1:10" ht="18.75">
      <c r="A21" s="286" t="s">
        <v>116</v>
      </c>
      <c r="B21" s="28" t="s">
        <v>82</v>
      </c>
      <c r="C21" s="43">
        <f>D10</f>
        <v>1.1666666666666667</v>
      </c>
      <c r="D21" s="46">
        <f t="shared" si="2"/>
        <v>0.03821925567999563</v>
      </c>
      <c r="E21" s="46">
        <f t="shared" si="3"/>
        <v>0.038978934341182714</v>
      </c>
      <c r="F21" s="46">
        <f t="shared" si="4"/>
        <v>0.8135769795545746</v>
      </c>
      <c r="G21" s="46">
        <f t="shared" si="5"/>
        <v>0.12516568916224224</v>
      </c>
      <c r="H21" s="47">
        <f t="shared" si="6"/>
        <v>6</v>
      </c>
      <c r="I21" s="42">
        <v>150</v>
      </c>
      <c r="J21" s="20"/>
    </row>
    <row r="22" spans="1:10" ht="18.75">
      <c r="A22" s="286"/>
      <c r="B22" s="28" t="s">
        <v>83</v>
      </c>
      <c r="C22" s="43">
        <f>E10</f>
        <v>2.3333333333333335</v>
      </c>
      <c r="D22" s="46">
        <f t="shared" si="2"/>
        <v>0.07643851135999126</v>
      </c>
      <c r="E22" s="46">
        <f t="shared" si="3"/>
        <v>0.07960716143593471</v>
      </c>
      <c r="F22" s="46">
        <f t="shared" si="4"/>
        <v>1.6615783639711486</v>
      </c>
      <c r="G22" s="46">
        <f t="shared" si="5"/>
        <v>0.2556274406109459</v>
      </c>
      <c r="H22" s="47">
        <f t="shared" si="6"/>
        <v>6</v>
      </c>
      <c r="I22" s="42">
        <v>150</v>
      </c>
      <c r="J22" s="20"/>
    </row>
    <row r="23" spans="1:10" ht="18.75">
      <c r="A23" s="286" t="s">
        <v>121</v>
      </c>
      <c r="B23" s="28" t="s">
        <v>82</v>
      </c>
      <c r="C23" s="43">
        <f>D11</f>
        <v>0.42</v>
      </c>
      <c r="D23" s="46">
        <f t="shared" si="2"/>
        <v>0.013758932044798427</v>
      </c>
      <c r="E23" s="46">
        <f t="shared" si="3"/>
        <v>0.013854911328762376</v>
      </c>
      <c r="F23" s="46">
        <f t="shared" si="4"/>
        <v>0.2891827881231125</v>
      </c>
      <c r="G23" s="46">
        <f t="shared" si="5"/>
        <v>0.044489659711248075</v>
      </c>
      <c r="H23" s="47">
        <f t="shared" si="6"/>
        <v>6</v>
      </c>
      <c r="I23" s="42">
        <v>150</v>
      </c>
      <c r="J23" s="20"/>
    </row>
    <row r="24" spans="1:10" ht="18.75">
      <c r="A24" s="286"/>
      <c r="B24" s="28" t="s">
        <v>83</v>
      </c>
      <c r="C24" s="43">
        <f>E11</f>
        <v>0.84</v>
      </c>
      <c r="D24" s="46">
        <f t="shared" si="2"/>
        <v>0.027517864089596854</v>
      </c>
      <c r="E24" s="46">
        <f t="shared" si="3"/>
        <v>0.02790727200497667</v>
      </c>
      <c r="F24" s="46">
        <f t="shared" si="4"/>
        <v>0.5824867829038742</v>
      </c>
      <c r="G24" s="46">
        <f t="shared" si="5"/>
        <v>0.08961335121598064</v>
      </c>
      <c r="H24" s="47">
        <f t="shared" si="6"/>
        <v>6</v>
      </c>
      <c r="I24" s="42">
        <v>150</v>
      </c>
      <c r="J24" s="20"/>
    </row>
    <row r="25" spans="1:10" ht="18.75">
      <c r="A25" s="286" t="s">
        <v>122</v>
      </c>
      <c r="B25" s="28" t="s">
        <v>82</v>
      </c>
      <c r="C25" s="43">
        <f>D12</f>
        <v>0.65625</v>
      </c>
      <c r="D25" s="46">
        <f t="shared" si="2"/>
        <v>0.02149833131999754</v>
      </c>
      <c r="E25" s="46">
        <f t="shared" si="3"/>
        <v>0.021734526133113108</v>
      </c>
      <c r="F25" s="46">
        <f t="shared" si="4"/>
        <v>0.45364785934503304</v>
      </c>
      <c r="G25" s="46">
        <f t="shared" si="5"/>
        <v>0.06979197836077432</v>
      </c>
      <c r="H25" s="47">
        <f t="shared" si="6"/>
        <v>6</v>
      </c>
      <c r="I25" s="42">
        <v>150</v>
      </c>
      <c r="J25" s="20"/>
    </row>
    <row r="26" spans="1:10" ht="18.75">
      <c r="A26" s="286"/>
      <c r="B26" s="28" t="s">
        <v>83</v>
      </c>
      <c r="C26" s="43">
        <f>E12</f>
        <v>1.3125</v>
      </c>
      <c r="D26" s="46">
        <f t="shared" si="2"/>
        <v>0.04299666263999508</v>
      </c>
      <c r="E26" s="46">
        <f t="shared" si="3"/>
        <v>0.043963036948879375</v>
      </c>
      <c r="F26" s="46">
        <f t="shared" si="4"/>
        <v>0.9176062767607766</v>
      </c>
      <c r="G26" s="46">
        <f t="shared" si="5"/>
        <v>0.14117019642473486</v>
      </c>
      <c r="H26" s="47">
        <f t="shared" si="6"/>
        <v>6</v>
      </c>
      <c r="I26" s="42">
        <v>150</v>
      </c>
      <c r="J26" s="20"/>
    </row>
    <row r="27" spans="1:10" ht="18.75">
      <c r="A27" s="286" t="s">
        <v>123</v>
      </c>
      <c r="B27" s="28" t="s">
        <v>82</v>
      </c>
      <c r="C27" s="43">
        <f>D13</f>
        <v>0.65625</v>
      </c>
      <c r="D27" s="46">
        <f t="shared" si="2"/>
        <v>0.02149833131999754</v>
      </c>
      <c r="E27" s="46">
        <f t="shared" si="3"/>
        <v>0.021734526133113108</v>
      </c>
      <c r="F27" s="46">
        <f t="shared" si="4"/>
        <v>0.45364785934503304</v>
      </c>
      <c r="G27" s="46">
        <f t="shared" si="5"/>
        <v>0.06979197836077432</v>
      </c>
      <c r="H27" s="47">
        <f t="shared" si="6"/>
        <v>6</v>
      </c>
      <c r="I27" s="42">
        <v>150</v>
      </c>
      <c r="J27" s="20"/>
    </row>
    <row r="28" spans="1:10" ht="18.75">
      <c r="A28" s="286"/>
      <c r="B28" s="28" t="s">
        <v>83</v>
      </c>
      <c r="C28" s="43">
        <f>E13</f>
        <v>1.3125</v>
      </c>
      <c r="D28" s="46">
        <f t="shared" si="2"/>
        <v>0.04299666263999508</v>
      </c>
      <c r="E28" s="46">
        <f t="shared" si="3"/>
        <v>0.043963036948879375</v>
      </c>
      <c r="F28" s="46">
        <f t="shared" si="4"/>
        <v>0.9176062767607766</v>
      </c>
      <c r="G28" s="46">
        <f t="shared" si="5"/>
        <v>0.14117019642473486</v>
      </c>
      <c r="H28" s="47">
        <f t="shared" si="6"/>
        <v>6</v>
      </c>
      <c r="I28" s="42">
        <v>150</v>
      </c>
      <c r="J28" s="20"/>
    </row>
    <row r="29" spans="1:10" ht="18.75">
      <c r="A29" s="286" t="s">
        <v>124</v>
      </c>
      <c r="B29" s="28" t="s">
        <v>82</v>
      </c>
      <c r="C29" s="43">
        <f>D14</f>
        <v>0.42</v>
      </c>
      <c r="D29" s="46">
        <f t="shared" si="2"/>
        <v>0.013758932044798427</v>
      </c>
      <c r="E29" s="46">
        <f t="shared" si="3"/>
        <v>0.013854911328762376</v>
      </c>
      <c r="F29" s="46">
        <f t="shared" si="4"/>
        <v>0.2891827881231125</v>
      </c>
      <c r="G29" s="46">
        <f t="shared" si="5"/>
        <v>0.044489659711248075</v>
      </c>
      <c r="H29" s="47">
        <f t="shared" si="6"/>
        <v>6</v>
      </c>
      <c r="I29" s="42">
        <v>150</v>
      </c>
      <c r="J29" s="20"/>
    </row>
    <row r="30" spans="1:13" ht="18.75">
      <c r="A30" s="286"/>
      <c r="B30" s="28" t="s">
        <v>83</v>
      </c>
      <c r="C30" s="43">
        <f>E14</f>
        <v>0.84</v>
      </c>
      <c r="D30" s="46">
        <f t="shared" si="2"/>
        <v>0.027517864089596854</v>
      </c>
      <c r="E30" s="46">
        <f t="shared" si="3"/>
        <v>0.02790727200497667</v>
      </c>
      <c r="F30" s="46">
        <f t="shared" si="4"/>
        <v>0.5824867829038742</v>
      </c>
      <c r="G30" s="46">
        <f t="shared" si="5"/>
        <v>0.08961335121598064</v>
      </c>
      <c r="H30" s="47">
        <f t="shared" si="6"/>
        <v>6</v>
      </c>
      <c r="I30" s="42">
        <v>150</v>
      </c>
      <c r="J30" s="20"/>
      <c r="M30" s="48"/>
    </row>
    <row r="31" spans="1:13" ht="23.25">
      <c r="A31" s="283" t="s">
        <v>84</v>
      </c>
      <c r="B31" s="283"/>
      <c r="C31" s="49"/>
      <c r="D31" s="49"/>
      <c r="E31" s="49"/>
      <c r="F31" s="49"/>
      <c r="G31" s="49"/>
      <c r="H31" s="20"/>
      <c r="I31" s="20"/>
      <c r="J31" s="20"/>
      <c r="M31" s="48"/>
    </row>
    <row r="32" spans="1:13" ht="20.25">
      <c r="A32" s="284" t="s">
        <v>85</v>
      </c>
      <c r="B32" s="284"/>
      <c r="C32" s="284"/>
      <c r="D32" s="284"/>
      <c r="E32" s="284"/>
      <c r="F32" s="284"/>
      <c r="G32" s="50"/>
      <c r="H32" s="20"/>
      <c r="I32" s="20"/>
      <c r="J32" s="20"/>
      <c r="M32" s="48"/>
    </row>
    <row r="33" spans="1:13" ht="20.25">
      <c r="A33" s="285" t="s">
        <v>86</v>
      </c>
      <c r="B33" s="285"/>
      <c r="C33" s="285"/>
      <c r="D33" s="285"/>
      <c r="E33" s="285"/>
      <c r="F33" s="285"/>
      <c r="G33" s="50"/>
      <c r="H33" s="20"/>
      <c r="I33" s="20"/>
      <c r="J33" s="20"/>
      <c r="M33" s="48"/>
    </row>
    <row r="34" spans="1:13" ht="20.25">
      <c r="A34" s="149" t="s">
        <v>87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48"/>
    </row>
    <row r="35" spans="1:14" ht="20.25">
      <c r="A35" s="42" t="s">
        <v>54</v>
      </c>
      <c r="B35" s="42" t="s">
        <v>172</v>
      </c>
      <c r="C35" s="42" t="s">
        <v>173</v>
      </c>
      <c r="D35" s="42" t="s">
        <v>174</v>
      </c>
      <c r="E35" s="42" t="s">
        <v>175</v>
      </c>
      <c r="F35" s="42" t="s">
        <v>176</v>
      </c>
      <c r="G35" s="42" t="s">
        <v>177</v>
      </c>
      <c r="H35" s="42" t="s">
        <v>178</v>
      </c>
      <c r="I35" s="42" t="s">
        <v>179</v>
      </c>
      <c r="J35" s="42" t="s">
        <v>180</v>
      </c>
      <c r="K35" s="26" t="s">
        <v>186</v>
      </c>
      <c r="L35" s="42" t="s">
        <v>187</v>
      </c>
      <c r="M35" s="42" t="s">
        <v>188</v>
      </c>
      <c r="N35" s="42" t="s">
        <v>189</v>
      </c>
    </row>
    <row r="36" spans="1:14" ht="18.75">
      <c r="A36" s="42" t="s">
        <v>181</v>
      </c>
      <c r="B36" s="42">
        <v>3.5</v>
      </c>
      <c r="C36" s="141">
        <v>4.2</v>
      </c>
      <c r="D36" s="141">
        <v>5.8</v>
      </c>
      <c r="E36" s="142">
        <f aca="true" t="shared" si="7" ref="E36:E43">D36*C36*B36</f>
        <v>85.25999999999999</v>
      </c>
      <c r="F36" s="42">
        <f aca="true" t="shared" si="8" ref="F36:F43">C36/B36</f>
        <v>1.2</v>
      </c>
      <c r="G36" s="42">
        <v>0.0204</v>
      </c>
      <c r="H36" s="42">
        <v>0.0142</v>
      </c>
      <c r="I36" s="42">
        <v>0.0468</v>
      </c>
      <c r="J36" s="42">
        <v>0.0325</v>
      </c>
      <c r="K36" s="42">
        <f>E$36*G36</f>
        <v>1.739304</v>
      </c>
      <c r="L36" s="42">
        <f aca="true" t="shared" si="9" ref="L36:N37">$E$36*H36</f>
        <v>1.2106919999999999</v>
      </c>
      <c r="M36" s="42">
        <f t="shared" si="9"/>
        <v>3.9901679999999997</v>
      </c>
      <c r="N36" s="42">
        <f t="shared" si="9"/>
        <v>2.7709499999999996</v>
      </c>
    </row>
    <row r="37" spans="1:14" ht="18.75">
      <c r="A37" s="42" t="s">
        <v>57</v>
      </c>
      <c r="B37" s="42">
        <v>3.5</v>
      </c>
      <c r="C37" s="141">
        <v>4.2</v>
      </c>
      <c r="D37" s="141">
        <v>8.6</v>
      </c>
      <c r="E37" s="142">
        <f t="shared" si="7"/>
        <v>126.41999999999999</v>
      </c>
      <c r="F37" s="141">
        <f t="shared" si="8"/>
        <v>1.2</v>
      </c>
      <c r="G37" s="42">
        <v>0.0204</v>
      </c>
      <c r="H37" s="42">
        <v>0.0142</v>
      </c>
      <c r="I37" s="42">
        <v>0.0468</v>
      </c>
      <c r="J37" s="42">
        <v>0.0325</v>
      </c>
      <c r="K37" s="42">
        <f>$E$37*G37</f>
        <v>2.578968</v>
      </c>
      <c r="L37" s="42">
        <f t="shared" si="9"/>
        <v>1.2106919999999999</v>
      </c>
      <c r="M37" s="42">
        <f t="shared" si="9"/>
        <v>3.9901679999999997</v>
      </c>
      <c r="N37" s="42">
        <f t="shared" si="9"/>
        <v>2.7709499999999996</v>
      </c>
    </row>
    <row r="38" spans="1:14" ht="18.75">
      <c r="A38" s="42" t="s">
        <v>61</v>
      </c>
      <c r="B38" s="42">
        <v>3.5</v>
      </c>
      <c r="C38" s="141">
        <v>4.2</v>
      </c>
      <c r="D38" s="141">
        <v>6.3</v>
      </c>
      <c r="E38" s="142">
        <f t="shared" si="7"/>
        <v>92.61</v>
      </c>
      <c r="F38" s="141">
        <f t="shared" si="8"/>
        <v>1.2</v>
      </c>
      <c r="G38" s="42">
        <v>0.0204</v>
      </c>
      <c r="H38" s="42">
        <v>0.0142</v>
      </c>
      <c r="I38" s="42">
        <v>0.0468</v>
      </c>
      <c r="J38" s="42">
        <v>0.0325</v>
      </c>
      <c r="K38" s="42">
        <f>$E$38*G38</f>
        <v>1.8892440000000001</v>
      </c>
      <c r="L38" s="42">
        <f>$E$38*H38</f>
        <v>1.3150620000000002</v>
      </c>
      <c r="M38" s="42">
        <f>$E$38*I38</f>
        <v>4.334148</v>
      </c>
      <c r="N38" s="42">
        <f>$E$38*J38</f>
        <v>3.009825</v>
      </c>
    </row>
    <row r="39" spans="1:14" ht="18.75">
      <c r="A39" s="42" t="s">
        <v>66</v>
      </c>
      <c r="B39" s="42">
        <v>1.05</v>
      </c>
      <c r="C39" s="141">
        <v>1.7</v>
      </c>
      <c r="D39" s="141">
        <v>6</v>
      </c>
      <c r="E39" s="142">
        <f t="shared" si="7"/>
        <v>10.709999999999999</v>
      </c>
      <c r="F39" s="141">
        <f t="shared" si="8"/>
        <v>1.6190476190476188</v>
      </c>
      <c r="G39" s="42">
        <v>0.02038</v>
      </c>
      <c r="H39" s="42">
        <v>0.00776</v>
      </c>
      <c r="I39" s="42">
        <v>0.04496</v>
      </c>
      <c r="J39" s="42">
        <v>0.01718</v>
      </c>
      <c r="K39" s="42">
        <f>$E$39*G39</f>
        <v>0.21826979999999996</v>
      </c>
      <c r="L39" s="42">
        <f>$E$39*H39</f>
        <v>0.08310959999999999</v>
      </c>
      <c r="M39" s="42">
        <f>$E$39*I39</f>
        <v>0.48152159999999994</v>
      </c>
      <c r="N39" s="42">
        <f>$E$39*J39</f>
        <v>0.1839978</v>
      </c>
    </row>
    <row r="40" spans="1:14" ht="18.75">
      <c r="A40" s="42" t="s">
        <v>71</v>
      </c>
      <c r="B40" s="42">
        <v>1.5</v>
      </c>
      <c r="C40" s="141">
        <v>1.9</v>
      </c>
      <c r="D40" s="141">
        <v>6</v>
      </c>
      <c r="E40" s="142">
        <f t="shared" si="7"/>
        <v>17.099999999999998</v>
      </c>
      <c r="F40" s="141">
        <f t="shared" si="8"/>
        <v>1.2666666666666666</v>
      </c>
      <c r="G40" s="42">
        <v>0.02074</v>
      </c>
      <c r="H40" s="42">
        <v>0.0129</v>
      </c>
      <c r="I40" s="42">
        <v>0.0738</v>
      </c>
      <c r="J40" s="42">
        <v>0.02942</v>
      </c>
      <c r="K40" s="42">
        <f>$E$40*G40</f>
        <v>0.35465399999999997</v>
      </c>
      <c r="L40" s="42">
        <f>$E$40*H40</f>
        <v>0.22058999999999998</v>
      </c>
      <c r="M40" s="42">
        <f>$E$40*I40</f>
        <v>1.2619799999999999</v>
      </c>
      <c r="N40" s="42">
        <f>$E$40*J40</f>
        <v>0.5030819999999999</v>
      </c>
    </row>
    <row r="41" spans="1:14" ht="18.75">
      <c r="A41" s="42" t="s">
        <v>182</v>
      </c>
      <c r="B41" s="42">
        <v>1.5</v>
      </c>
      <c r="C41" s="141">
        <v>2.3</v>
      </c>
      <c r="D41" s="141">
        <v>6</v>
      </c>
      <c r="E41" s="142">
        <f t="shared" si="7"/>
        <v>20.7</v>
      </c>
      <c r="F41" s="141">
        <f t="shared" si="8"/>
        <v>1.5333333333333332</v>
      </c>
      <c r="G41" s="42">
        <v>0.02068</v>
      </c>
      <c r="H41" s="42">
        <v>0.00888</v>
      </c>
      <c r="I41" s="42">
        <v>0.0461</v>
      </c>
      <c r="J41" s="42">
        <v>0.0197</v>
      </c>
      <c r="K41" s="42">
        <f>$E$41*G41</f>
        <v>0.428076</v>
      </c>
      <c r="L41" s="42">
        <f>$E$41*H41</f>
        <v>0.183816</v>
      </c>
      <c r="M41" s="42">
        <f>$E$41*I41</f>
        <v>0.9542700000000001</v>
      </c>
      <c r="N41" s="42">
        <f>$E$41*J41</f>
        <v>0.40779</v>
      </c>
    </row>
    <row r="42" spans="1:14" ht="18.75">
      <c r="A42" s="42" t="s">
        <v>183</v>
      </c>
      <c r="B42" s="42">
        <v>3.2</v>
      </c>
      <c r="C42" s="141">
        <v>4.2</v>
      </c>
      <c r="D42" s="141">
        <v>7</v>
      </c>
      <c r="E42" s="142">
        <f t="shared" si="7"/>
        <v>94.08000000000001</v>
      </c>
      <c r="F42" s="141">
        <f t="shared" si="8"/>
        <v>1.3125</v>
      </c>
      <c r="G42" s="42">
        <v>0.02084</v>
      </c>
      <c r="H42" s="42">
        <v>0.01214</v>
      </c>
      <c r="I42" s="42">
        <v>0.04748</v>
      </c>
      <c r="J42" s="42">
        <v>0.02772</v>
      </c>
      <c r="K42" s="42">
        <f>$E$42*G42</f>
        <v>1.9606272000000002</v>
      </c>
      <c r="L42" s="42">
        <f>$E$42*H42</f>
        <v>1.1421312000000001</v>
      </c>
      <c r="M42" s="42">
        <f>$E$42*I42</f>
        <v>4.466918400000001</v>
      </c>
      <c r="N42" s="42">
        <f>$E$42*J42</f>
        <v>2.6078976000000007</v>
      </c>
    </row>
    <row r="43" spans="1:14" ht="18.75">
      <c r="A43" s="42" t="s">
        <v>184</v>
      </c>
      <c r="B43" s="42">
        <v>3.2</v>
      </c>
      <c r="C43" s="141">
        <v>6</v>
      </c>
      <c r="D43" s="141">
        <v>7</v>
      </c>
      <c r="E43" s="142">
        <f t="shared" si="7"/>
        <v>134.4</v>
      </c>
      <c r="F43" s="141">
        <f t="shared" si="8"/>
        <v>1.875</v>
      </c>
      <c r="G43" s="42">
        <v>0.01908</v>
      </c>
      <c r="H43" s="42">
        <v>0.00536</v>
      </c>
      <c r="I43" s="42">
        <v>0.04108</v>
      </c>
      <c r="J43" s="42">
        <v>0.01166</v>
      </c>
      <c r="K43" s="42">
        <f>$E$43*G43</f>
        <v>2.564352</v>
      </c>
      <c r="L43" s="42">
        <f>$E$43*H43</f>
        <v>0.720384</v>
      </c>
      <c r="M43" s="42">
        <f>$E$43*I43</f>
        <v>5.521152</v>
      </c>
      <c r="N43" s="42">
        <f>$E$43*J43</f>
        <v>1.567104</v>
      </c>
    </row>
    <row r="44" spans="1:14" ht="18.75">
      <c r="A44" s="143"/>
      <c r="B44" s="146"/>
      <c r="C44" s="144"/>
      <c r="D44" s="144"/>
      <c r="E44" s="145"/>
      <c r="F44" s="144"/>
      <c r="G44" s="57"/>
      <c r="H44" s="57"/>
      <c r="I44" s="57"/>
      <c r="J44" s="57"/>
      <c r="K44" s="57"/>
      <c r="L44" s="57"/>
      <c r="M44" s="57"/>
      <c r="N44" s="57"/>
    </row>
    <row r="45" spans="1:14" ht="18.75">
      <c r="A45" s="42"/>
      <c r="B45" s="42"/>
      <c r="C45" s="141" t="s">
        <v>194</v>
      </c>
      <c r="D45" s="43" t="s">
        <v>79</v>
      </c>
      <c r="E45" s="43" t="s">
        <v>29</v>
      </c>
      <c r="F45" s="44" t="s">
        <v>24</v>
      </c>
      <c r="G45" s="28" t="s">
        <v>80</v>
      </c>
      <c r="H45" s="42" t="s">
        <v>41</v>
      </c>
      <c r="I45" s="42" t="s">
        <v>195</v>
      </c>
      <c r="J45" s="20"/>
      <c r="K45" s="57"/>
      <c r="L45" s="57"/>
      <c r="M45" s="57"/>
      <c r="N45" s="57"/>
    </row>
    <row r="46" spans="1:10" ht="20.25">
      <c r="A46" s="287" t="s">
        <v>181</v>
      </c>
      <c r="B46" s="26" t="s">
        <v>190</v>
      </c>
      <c r="C46" s="42">
        <f>K36</f>
        <v>1.739304</v>
      </c>
      <c r="D46" s="46">
        <f>C46/($N$2*$N$3*$J$3*$N$6*$N$6)</f>
        <v>0.056978489383919244</v>
      </c>
      <c r="E46" s="46">
        <f>1-SQRT(1-2*D46)</f>
        <v>0.05870141759792202</v>
      </c>
      <c r="F46" s="46">
        <f>((E46*$N$2*$J$3*$N$3*$N$6)/$L$3)*10000</f>
        <v>1.2252290328632949</v>
      </c>
      <c r="G46" s="46">
        <f>F46/($N$3*$N$6)/100</f>
        <v>0.18849677428666073</v>
      </c>
      <c r="H46" s="47">
        <f>IF(F46&lt;1.7,6,8)</f>
        <v>6</v>
      </c>
      <c r="I46" s="42">
        <v>150</v>
      </c>
      <c r="J46" s="20"/>
    </row>
    <row r="47" spans="1:10" ht="20.25">
      <c r="A47" s="287"/>
      <c r="B47" s="42" t="s">
        <v>191</v>
      </c>
      <c r="C47" s="42">
        <f>L36</f>
        <v>1.2106919999999999</v>
      </c>
      <c r="D47" s="46">
        <f aca="true" t="shared" si="10" ref="D47:D76">C47/($N$2*$N$3*$J$3*$N$6*$N$6)</f>
        <v>0.03966149751233594</v>
      </c>
      <c r="E47" s="46">
        <f aca="true" t="shared" si="11" ref="E47:E77">1-SQRT(1-2*D47)</f>
        <v>0.04048084699922316</v>
      </c>
      <c r="F47" s="46">
        <f aca="true" t="shared" si="12" ref="F47:F77">((E47*$N$2*$J$3*$N$3*$N$6)/$L$3)*10000</f>
        <v>0.8449252343115636</v>
      </c>
      <c r="G47" s="46">
        <f aca="true" t="shared" si="13" ref="G47:G76">F47/($N$3*$N$6)/100</f>
        <v>0.1299884975863944</v>
      </c>
      <c r="H47" s="47">
        <f>IF(F47&lt;1.7,6,8)</f>
        <v>6</v>
      </c>
      <c r="I47" s="42">
        <v>150</v>
      </c>
      <c r="J47" s="20"/>
    </row>
    <row r="48" spans="1:10" ht="20.25">
      <c r="A48" s="287"/>
      <c r="B48" s="42" t="s">
        <v>192</v>
      </c>
      <c r="C48" s="42">
        <f>M36</f>
        <v>3.9901679999999997</v>
      </c>
      <c r="D48" s="46">
        <f t="shared" si="10"/>
        <v>0.13071535799840298</v>
      </c>
      <c r="E48" s="46">
        <f t="shared" si="11"/>
        <v>0.1405994624139486</v>
      </c>
      <c r="F48" s="46">
        <f t="shared" si="12"/>
        <v>2.934623223828916</v>
      </c>
      <c r="G48" s="46">
        <f t="shared" si="13"/>
        <v>0.45148049597367934</v>
      </c>
      <c r="H48" s="47">
        <f>IF(F48&lt;1.7,6,8)</f>
        <v>8</v>
      </c>
      <c r="I48" s="42">
        <v>150</v>
      </c>
      <c r="J48" s="20"/>
    </row>
    <row r="49" spans="1:9" s="20" customFormat="1" ht="20.25">
      <c r="A49" s="287"/>
      <c r="B49" s="42" t="s">
        <v>193</v>
      </c>
      <c r="C49" s="42">
        <f>N36</f>
        <v>2.7709499999999996</v>
      </c>
      <c r="D49" s="46">
        <f t="shared" si="10"/>
        <v>0.0907745541655576</v>
      </c>
      <c r="E49" s="46">
        <f t="shared" si="11"/>
        <v>0.09531724252703655</v>
      </c>
      <c r="F49" s="46">
        <f t="shared" si="12"/>
        <v>1.9894826676337571</v>
      </c>
      <c r="G49" s="46">
        <f t="shared" si="13"/>
        <v>0.3060742565590396</v>
      </c>
      <c r="H49" s="47">
        <f aca="true" t="shared" si="14" ref="H49:H77">IF(F49&lt;1.7,6,8)</f>
        <v>8</v>
      </c>
      <c r="I49" s="42">
        <v>150</v>
      </c>
    </row>
    <row r="50" spans="1:9" s="20" customFormat="1" ht="20.25">
      <c r="A50" s="287" t="s">
        <v>57</v>
      </c>
      <c r="B50" s="26" t="s">
        <v>190</v>
      </c>
      <c r="C50" s="42">
        <f>K37</f>
        <v>2.578968</v>
      </c>
      <c r="D50" s="46">
        <f t="shared" si="10"/>
        <v>0.08448534632788027</v>
      </c>
      <c r="E50" s="46">
        <f t="shared" si="11"/>
        <v>0.08839191132140589</v>
      </c>
      <c r="F50" s="46">
        <f t="shared" si="12"/>
        <v>1.844935615747344</v>
      </c>
      <c r="G50" s="46">
        <f t="shared" si="13"/>
        <v>0.28383624857651446</v>
      </c>
      <c r="H50" s="47">
        <f t="shared" si="14"/>
        <v>8</v>
      </c>
      <c r="I50" s="42">
        <v>150</v>
      </c>
    </row>
    <row r="51" spans="1:9" s="20" customFormat="1" ht="20.25">
      <c r="A51" s="287"/>
      <c r="B51" s="42" t="s">
        <v>191</v>
      </c>
      <c r="C51" s="42">
        <f>L37</f>
        <v>1.2106919999999999</v>
      </c>
      <c r="D51" s="46">
        <f t="shared" si="10"/>
        <v>0.03966149751233594</v>
      </c>
      <c r="E51" s="46">
        <f t="shared" si="11"/>
        <v>0.04048084699922316</v>
      </c>
      <c r="F51" s="46">
        <f t="shared" si="12"/>
        <v>0.8449252343115636</v>
      </c>
      <c r="G51" s="46">
        <f t="shared" si="13"/>
        <v>0.1299884975863944</v>
      </c>
      <c r="H51" s="47">
        <f t="shared" si="14"/>
        <v>6</v>
      </c>
      <c r="I51" s="42">
        <v>150</v>
      </c>
    </row>
    <row r="52" spans="1:9" s="20" customFormat="1" ht="20.25">
      <c r="A52" s="287"/>
      <c r="B52" s="42" t="s">
        <v>192</v>
      </c>
      <c r="C52" s="42">
        <f>M37</f>
        <v>3.9901679999999997</v>
      </c>
      <c r="D52" s="46">
        <f t="shared" si="10"/>
        <v>0.13071535799840298</v>
      </c>
      <c r="E52" s="46">
        <f t="shared" si="11"/>
        <v>0.1405994624139486</v>
      </c>
      <c r="F52" s="46">
        <f t="shared" si="12"/>
        <v>2.934623223828916</v>
      </c>
      <c r="G52" s="46">
        <f t="shared" si="13"/>
        <v>0.45148049597367934</v>
      </c>
      <c r="H52" s="47">
        <f t="shared" si="14"/>
        <v>8</v>
      </c>
      <c r="I52" s="42">
        <v>150</v>
      </c>
    </row>
    <row r="53" spans="1:9" s="20" customFormat="1" ht="20.25">
      <c r="A53" s="287"/>
      <c r="B53" s="42" t="s">
        <v>193</v>
      </c>
      <c r="C53" s="42">
        <f>N37</f>
        <v>2.7709499999999996</v>
      </c>
      <c r="D53" s="46">
        <f t="shared" si="10"/>
        <v>0.0907745541655576</v>
      </c>
      <c r="E53" s="46">
        <f t="shared" si="11"/>
        <v>0.09531724252703655</v>
      </c>
      <c r="F53" s="46">
        <f t="shared" si="12"/>
        <v>1.9894826676337571</v>
      </c>
      <c r="G53" s="46">
        <f t="shared" si="13"/>
        <v>0.3060742565590396</v>
      </c>
      <c r="H53" s="47">
        <f t="shared" si="14"/>
        <v>8</v>
      </c>
      <c r="I53" s="42">
        <v>150</v>
      </c>
    </row>
    <row r="54" spans="1:9" s="20" customFormat="1" ht="20.25">
      <c r="A54" s="287" t="s">
        <v>61</v>
      </c>
      <c r="B54" s="26" t="s">
        <v>190</v>
      </c>
      <c r="C54" s="42">
        <f>K38</f>
        <v>1.8892440000000001</v>
      </c>
      <c r="D54" s="46">
        <f t="shared" si="10"/>
        <v>0.06189042812391229</v>
      </c>
      <c r="E54" s="46">
        <f t="shared" si="11"/>
        <v>0.0639342203925114</v>
      </c>
      <c r="F54" s="46">
        <f t="shared" si="12"/>
        <v>1.3344492556370298</v>
      </c>
      <c r="G54" s="46">
        <f t="shared" si="13"/>
        <v>0.20529988548261996</v>
      </c>
      <c r="H54" s="47">
        <f t="shared" si="14"/>
        <v>6</v>
      </c>
      <c r="I54" s="42">
        <v>150</v>
      </c>
    </row>
    <row r="55" spans="1:9" s="20" customFormat="1" ht="20.25">
      <c r="A55" s="287"/>
      <c r="B55" s="42" t="s">
        <v>191</v>
      </c>
      <c r="C55" s="42">
        <f>L38</f>
        <v>1.3150620000000002</v>
      </c>
      <c r="D55" s="46">
        <f t="shared" si="10"/>
        <v>0.04308059212546836</v>
      </c>
      <c r="E55" s="46">
        <f t="shared" si="11"/>
        <v>0.04405082993442411</v>
      </c>
      <c r="F55" s="46">
        <f t="shared" si="12"/>
        <v>0.9194387114646188</v>
      </c>
      <c r="G55" s="46">
        <f t="shared" si="13"/>
        <v>0.14145210945609518</v>
      </c>
      <c r="H55" s="47">
        <f t="shared" si="14"/>
        <v>6</v>
      </c>
      <c r="I55" s="42">
        <v>150</v>
      </c>
    </row>
    <row r="56" spans="1:9" s="20" customFormat="1" ht="20.25">
      <c r="A56" s="287"/>
      <c r="B56" s="42" t="s">
        <v>192</v>
      </c>
      <c r="C56" s="42">
        <f>M38</f>
        <v>4.334148</v>
      </c>
      <c r="D56" s="46">
        <f t="shared" si="10"/>
        <v>0.14198392334309287</v>
      </c>
      <c r="E56" s="46">
        <f t="shared" si="11"/>
        <v>0.15381316878964946</v>
      </c>
      <c r="F56" s="46">
        <f t="shared" si="12"/>
        <v>3.2104226396817395</v>
      </c>
      <c r="G56" s="46">
        <f t="shared" si="13"/>
        <v>0.4939111753356522</v>
      </c>
      <c r="H56" s="47">
        <f t="shared" si="14"/>
        <v>8</v>
      </c>
      <c r="I56" s="42">
        <v>150</v>
      </c>
    </row>
    <row r="57" spans="1:9" s="20" customFormat="1" ht="20.25">
      <c r="A57" s="287"/>
      <c r="B57" s="42" t="s">
        <v>193</v>
      </c>
      <c r="C57" s="42">
        <f>N38</f>
        <v>3.009825</v>
      </c>
      <c r="D57" s="46">
        <f t="shared" si="10"/>
        <v>0.09859994676603673</v>
      </c>
      <c r="E57" s="46">
        <f t="shared" si="11"/>
        <v>0.1040088692024198</v>
      </c>
      <c r="F57" s="46">
        <f t="shared" si="12"/>
        <v>2.170896231074951</v>
      </c>
      <c r="G57" s="46">
        <f t="shared" si="13"/>
        <v>0.3339840355499925</v>
      </c>
      <c r="H57" s="47">
        <f t="shared" si="14"/>
        <v>8</v>
      </c>
      <c r="I57" s="42">
        <v>150</v>
      </c>
    </row>
    <row r="58" spans="1:9" s="20" customFormat="1" ht="20.25">
      <c r="A58" s="287" t="s">
        <v>66</v>
      </c>
      <c r="B58" s="26" t="s">
        <v>190</v>
      </c>
      <c r="C58" s="42">
        <f>K39</f>
        <v>0.21826979999999996</v>
      </c>
      <c r="D58" s="46">
        <f t="shared" si="10"/>
        <v>0.007150379394361293</v>
      </c>
      <c r="E58" s="46">
        <f t="shared" si="11"/>
        <v>0.0071761277994584205</v>
      </c>
      <c r="F58" s="46">
        <f t="shared" si="12"/>
        <v>0.1497817341253627</v>
      </c>
      <c r="G58" s="46">
        <f t="shared" si="13"/>
        <v>0.023043343711594257</v>
      </c>
      <c r="H58" s="47">
        <f t="shared" si="14"/>
        <v>6</v>
      </c>
      <c r="I58" s="42">
        <v>150</v>
      </c>
    </row>
    <row r="59" spans="1:9" s="20" customFormat="1" ht="20.25">
      <c r="A59" s="287"/>
      <c r="B59" s="42" t="s">
        <v>191</v>
      </c>
      <c r="C59" s="42">
        <f>L39</f>
        <v>0.08310959999999999</v>
      </c>
      <c r="D59" s="46">
        <f t="shared" si="10"/>
        <v>0.0027226174730247124</v>
      </c>
      <c r="E59" s="46">
        <f t="shared" si="11"/>
        <v>0.0027263339213500215</v>
      </c>
      <c r="F59" s="46">
        <f t="shared" si="12"/>
        <v>0.056904647458400175</v>
      </c>
      <c r="G59" s="46">
        <f t="shared" si="13"/>
        <v>0.008754561147446181</v>
      </c>
      <c r="H59" s="47">
        <f t="shared" si="14"/>
        <v>6</v>
      </c>
      <c r="I59" s="42">
        <v>150</v>
      </c>
    </row>
    <row r="60" spans="1:9" s="20" customFormat="1" ht="20.25">
      <c r="A60" s="287"/>
      <c r="B60" s="42" t="s">
        <v>192</v>
      </c>
      <c r="C60" s="42">
        <f>M39</f>
        <v>0.48152159999999994</v>
      </c>
      <c r="D60" s="46">
        <f t="shared" si="10"/>
        <v>0.015774340410720497</v>
      </c>
      <c r="E60" s="46">
        <f t="shared" si="11"/>
        <v>0.015900757454534453</v>
      </c>
      <c r="F60" s="46">
        <f t="shared" si="12"/>
        <v>0.33188414309269965</v>
      </c>
      <c r="G60" s="46">
        <f t="shared" si="13"/>
        <v>0.051059098937338405</v>
      </c>
      <c r="H60" s="47">
        <f t="shared" si="14"/>
        <v>6</v>
      </c>
      <c r="I60" s="42">
        <v>150</v>
      </c>
    </row>
    <row r="61" spans="1:9" s="20" customFormat="1" ht="20.25">
      <c r="A61" s="287"/>
      <c r="B61" s="42" t="s">
        <v>193</v>
      </c>
      <c r="C61" s="42">
        <f>N39</f>
        <v>0.1839978</v>
      </c>
      <c r="D61" s="46">
        <f t="shared" si="10"/>
        <v>0.006027650539505743</v>
      </c>
      <c r="E61" s="46">
        <f t="shared" si="11"/>
        <v>0.006045927157100284</v>
      </c>
      <c r="F61" s="46">
        <f t="shared" si="12"/>
        <v>0.12619193516236535</v>
      </c>
      <c r="G61" s="46">
        <f t="shared" si="13"/>
        <v>0.01941414387113313</v>
      </c>
      <c r="H61" s="47">
        <f t="shared" si="14"/>
        <v>6</v>
      </c>
      <c r="I61" s="42">
        <v>150</v>
      </c>
    </row>
    <row r="62" spans="1:9" s="20" customFormat="1" ht="20.25">
      <c r="A62" s="287" t="s">
        <v>71</v>
      </c>
      <c r="B62" s="26" t="s">
        <v>190</v>
      </c>
      <c r="C62" s="42">
        <f>K40</f>
        <v>0.35465399999999997</v>
      </c>
      <c r="D62" s="46">
        <f t="shared" si="10"/>
        <v>0.01161823877479986</v>
      </c>
      <c r="E62" s="46">
        <f t="shared" si="11"/>
        <v>0.011686526222372984</v>
      </c>
      <c r="F62" s="46">
        <f t="shared" si="12"/>
        <v>0.2439237723191961</v>
      </c>
      <c r="G62" s="46">
        <f t="shared" si="13"/>
        <v>0.037526734202953244</v>
      </c>
      <c r="H62" s="47">
        <f t="shared" si="14"/>
        <v>6</v>
      </c>
      <c r="I62" s="42">
        <v>150</v>
      </c>
    </row>
    <row r="63" spans="1:9" s="20" customFormat="1" ht="20.25">
      <c r="A63" s="287"/>
      <c r="B63" s="42" t="s">
        <v>191</v>
      </c>
      <c r="C63" s="42">
        <f>L40</f>
        <v>0.22058999999999998</v>
      </c>
      <c r="D63" s="46">
        <f t="shared" si="10"/>
        <v>0.007226387666100202</v>
      </c>
      <c r="E63" s="46">
        <f t="shared" si="11"/>
        <v>0.007252688410691488</v>
      </c>
      <c r="F63" s="46">
        <f t="shared" si="12"/>
        <v>0.15137972421648843</v>
      </c>
      <c r="G63" s="46">
        <f t="shared" si="13"/>
        <v>0.023289188340998218</v>
      </c>
      <c r="H63" s="47">
        <f t="shared" si="14"/>
        <v>6</v>
      </c>
      <c r="I63" s="42">
        <v>150</v>
      </c>
    </row>
    <row r="64" spans="1:9" s="20" customFormat="1" ht="20.25">
      <c r="A64" s="287"/>
      <c r="B64" s="42" t="s">
        <v>192</v>
      </c>
      <c r="C64" s="42">
        <f>M40</f>
        <v>1.2619799999999999</v>
      </c>
      <c r="D64" s="46">
        <f t="shared" si="10"/>
        <v>0.0413416596711779</v>
      </c>
      <c r="E64" s="46">
        <f t="shared" si="11"/>
        <v>0.04223349366474283</v>
      </c>
      <c r="F64" s="46">
        <f t="shared" si="12"/>
        <v>0.8815068649913268</v>
      </c>
      <c r="G64" s="46">
        <f t="shared" si="13"/>
        <v>0.13561644076789642</v>
      </c>
      <c r="H64" s="47">
        <f t="shared" si="14"/>
        <v>6</v>
      </c>
      <c r="I64" s="42">
        <v>150</v>
      </c>
    </row>
    <row r="65" spans="1:9" s="20" customFormat="1" ht="20.25">
      <c r="A65" s="287"/>
      <c r="B65" s="42" t="s">
        <v>193</v>
      </c>
      <c r="C65" s="42">
        <f>N40</f>
        <v>0.5030819999999999</v>
      </c>
      <c r="D65" s="46">
        <f t="shared" si="10"/>
        <v>0.016480645359431622</v>
      </c>
      <c r="E65" s="46">
        <f t="shared" si="11"/>
        <v>0.01661873656188828</v>
      </c>
      <c r="F65" s="46">
        <f t="shared" si="12"/>
        <v>0.34686996257230157</v>
      </c>
      <c r="G65" s="46">
        <f t="shared" si="13"/>
        <v>0.053364609626507936</v>
      </c>
      <c r="H65" s="47">
        <f t="shared" si="14"/>
        <v>6</v>
      </c>
      <c r="I65" s="42">
        <v>150</v>
      </c>
    </row>
    <row r="66" spans="1:9" s="20" customFormat="1" ht="20.25">
      <c r="A66" s="287" t="s">
        <v>182</v>
      </c>
      <c r="B66" s="26" t="s">
        <v>190</v>
      </c>
      <c r="C66" s="42">
        <f>K41</f>
        <v>0.428076</v>
      </c>
      <c r="D66" s="46">
        <f t="shared" si="10"/>
        <v>0.014023496652402694</v>
      </c>
      <c r="E66" s="46">
        <f t="shared" si="11"/>
        <v>0.014123229457558173</v>
      </c>
      <c r="F66" s="46">
        <f t="shared" si="12"/>
        <v>0.2947831837335892</v>
      </c>
      <c r="G66" s="46">
        <f t="shared" si="13"/>
        <v>0.0453512590359368</v>
      </c>
      <c r="H66" s="47">
        <f t="shared" si="14"/>
        <v>6</v>
      </c>
      <c r="I66" s="42">
        <v>150</v>
      </c>
    </row>
    <row r="67" spans="1:9" s="20" customFormat="1" ht="20.25">
      <c r="A67" s="287"/>
      <c r="B67" s="42" t="s">
        <v>191</v>
      </c>
      <c r="C67" s="42">
        <f>L41</f>
        <v>0.183816</v>
      </c>
      <c r="D67" s="46">
        <f t="shared" si="10"/>
        <v>0.006021694887492066</v>
      </c>
      <c r="E67" s="46">
        <f t="shared" si="11"/>
        <v>0.006039935296686116</v>
      </c>
      <c r="F67" s="46">
        <f t="shared" si="12"/>
        <v>0.12606687172027634</v>
      </c>
      <c r="G67" s="46">
        <f t="shared" si="13"/>
        <v>0.019394903341580973</v>
      </c>
      <c r="H67" s="47">
        <f t="shared" si="14"/>
        <v>6</v>
      </c>
      <c r="I67" s="42">
        <v>150</v>
      </c>
    </row>
    <row r="68" spans="1:9" s="20" customFormat="1" ht="20.25">
      <c r="A68" s="287"/>
      <c r="B68" s="42" t="s">
        <v>192</v>
      </c>
      <c r="C68" s="42">
        <f>M41</f>
        <v>0.9542700000000001</v>
      </c>
      <c r="D68" s="46">
        <f t="shared" si="10"/>
        <v>0.03126127638664237</v>
      </c>
      <c r="E68" s="46">
        <f t="shared" si="11"/>
        <v>0.03176580972023346</v>
      </c>
      <c r="F68" s="46">
        <f t="shared" si="12"/>
        <v>0.6630230395495395</v>
      </c>
      <c r="G68" s="46">
        <f t="shared" si="13"/>
        <v>0.10200354454608299</v>
      </c>
      <c r="H68" s="47">
        <f t="shared" si="14"/>
        <v>6</v>
      </c>
      <c r="I68" s="42">
        <v>150</v>
      </c>
    </row>
    <row r="69" spans="1:9" s="20" customFormat="1" ht="20.25">
      <c r="A69" s="287"/>
      <c r="B69" s="42" t="s">
        <v>193</v>
      </c>
      <c r="C69" s="42">
        <f>N41</f>
        <v>0.40779</v>
      </c>
      <c r="D69" s="46">
        <f t="shared" si="10"/>
        <v>0.01335894023463893</v>
      </c>
      <c r="E69" s="46">
        <f t="shared" si="11"/>
        <v>0.013449383188717356</v>
      </c>
      <c r="F69" s="46">
        <f t="shared" si="12"/>
        <v>0.28071851466672837</v>
      </c>
      <c r="G69" s="46">
        <f t="shared" si="13"/>
        <v>0.04318746379488129</v>
      </c>
      <c r="H69" s="47">
        <f t="shared" si="14"/>
        <v>6</v>
      </c>
      <c r="I69" s="42">
        <v>150</v>
      </c>
    </row>
    <row r="70" spans="1:9" s="20" customFormat="1" ht="20.25">
      <c r="A70" s="287" t="s">
        <v>183</v>
      </c>
      <c r="B70" s="26" t="s">
        <v>190</v>
      </c>
      <c r="C70" s="42">
        <f>K42</f>
        <v>1.9606272000000002</v>
      </c>
      <c r="D70" s="46">
        <f>C70/($N$2*$N$3*$J$3*$N$6*$N$6)</f>
        <v>0.06422889621424623</v>
      </c>
      <c r="E70" s="46">
        <f>1-SQRT(1-2*D70)</f>
        <v>0.06643575069976704</v>
      </c>
      <c r="F70" s="46">
        <f>((E70*$N$2*$J$3*$N$3*$N$6)/$L$3)*10000</f>
        <v>1.3866617521056932</v>
      </c>
      <c r="G70" s="46">
        <f>F70/($N$3*$N$6)/100</f>
        <v>0.2133325772470297</v>
      </c>
      <c r="H70" s="47">
        <f t="shared" si="14"/>
        <v>6</v>
      </c>
      <c r="I70" s="42">
        <v>150</v>
      </c>
    </row>
    <row r="71" spans="1:9" s="20" customFormat="1" ht="20.25">
      <c r="A71" s="287"/>
      <c r="B71" s="42" t="s">
        <v>191</v>
      </c>
      <c r="C71" s="42">
        <f>L42</f>
        <v>1.1421312000000001</v>
      </c>
      <c r="D71" s="46">
        <f t="shared" si="10"/>
        <v>0.03741548944534306</v>
      </c>
      <c r="E71" s="46">
        <f t="shared" si="11"/>
        <v>0.03814293103948452</v>
      </c>
      <c r="F71" s="46">
        <f t="shared" si="12"/>
        <v>0.7961277328630184</v>
      </c>
      <c r="G71" s="46">
        <f t="shared" si="13"/>
        <v>0.12248118967123359</v>
      </c>
      <c r="H71" s="47">
        <f t="shared" si="14"/>
        <v>6</v>
      </c>
      <c r="I71" s="42">
        <v>150</v>
      </c>
    </row>
    <row r="72" spans="1:9" s="20" customFormat="1" ht="20.25">
      <c r="A72" s="287"/>
      <c r="B72" s="42" t="s">
        <v>192</v>
      </c>
      <c r="C72" s="42">
        <f>M42</f>
        <v>4.466918400000001</v>
      </c>
      <c r="D72" s="46">
        <f t="shared" si="10"/>
        <v>0.1463333969410946</v>
      </c>
      <c r="E72" s="46">
        <f t="shared" si="11"/>
        <v>0.15896896245274583</v>
      </c>
      <c r="F72" s="46">
        <f t="shared" si="12"/>
        <v>3.3180355107498114</v>
      </c>
      <c r="G72" s="46">
        <f t="shared" si="13"/>
        <v>0.5104670016538172</v>
      </c>
      <c r="H72" s="47">
        <f t="shared" si="14"/>
        <v>8</v>
      </c>
      <c r="I72" s="42">
        <v>150</v>
      </c>
    </row>
    <row r="73" spans="1:9" s="20" customFormat="1" ht="20.25">
      <c r="A73" s="287"/>
      <c r="B73" s="42" t="s">
        <v>193</v>
      </c>
      <c r="C73" s="42">
        <f>N42</f>
        <v>2.6078976000000007</v>
      </c>
      <c r="D73" s="46">
        <f t="shared" si="10"/>
        <v>0.085433061567126</v>
      </c>
      <c r="E73" s="46">
        <f t="shared" si="11"/>
        <v>0.08943211298347009</v>
      </c>
      <c r="F73" s="46">
        <f t="shared" si="12"/>
        <v>1.8666469359938727</v>
      </c>
      <c r="G73" s="46">
        <f t="shared" si="13"/>
        <v>0.287176451691365</v>
      </c>
      <c r="H73" s="47">
        <f t="shared" si="14"/>
        <v>8</v>
      </c>
      <c r="I73" s="42">
        <v>150</v>
      </c>
    </row>
    <row r="74" spans="1:9" s="20" customFormat="1" ht="20.25">
      <c r="A74" s="287" t="s">
        <v>184</v>
      </c>
      <c r="B74" s="26" t="s">
        <v>190</v>
      </c>
      <c r="C74" s="42">
        <f>K43</f>
        <v>2.564352</v>
      </c>
      <c r="D74" s="46">
        <f t="shared" si="10"/>
        <v>0.08400653549272127</v>
      </c>
      <c r="E74" s="46">
        <f>1-SQRT(1-2*D74)</f>
        <v>0.08786682495670761</v>
      </c>
      <c r="F74" s="46">
        <f t="shared" si="12"/>
        <v>1.833975896457503</v>
      </c>
      <c r="G74" s="46">
        <f t="shared" si="13"/>
        <v>0.2821501379165389</v>
      </c>
      <c r="H74" s="47">
        <f t="shared" si="14"/>
        <v>8</v>
      </c>
      <c r="I74" s="42">
        <v>150</v>
      </c>
    </row>
    <row r="75" spans="1:9" s="20" customFormat="1" ht="20.25">
      <c r="A75" s="287"/>
      <c r="B75" s="42" t="s">
        <v>191</v>
      </c>
      <c r="C75" s="42">
        <f>L43</f>
        <v>0.720384</v>
      </c>
      <c r="D75" s="46">
        <f t="shared" si="10"/>
        <v>0.023599320243238263</v>
      </c>
      <c r="E75" s="46">
        <f t="shared" si="11"/>
        <v>0.023884556257036005</v>
      </c>
      <c r="F75" s="46">
        <f t="shared" si="12"/>
        <v>0.4985237658760237</v>
      </c>
      <c r="G75" s="46">
        <f t="shared" si="13"/>
        <v>0.07669596398092672</v>
      </c>
      <c r="H75" s="47">
        <f t="shared" si="14"/>
        <v>6</v>
      </c>
      <c r="I75" s="42">
        <v>150</v>
      </c>
    </row>
    <row r="76" spans="1:9" s="20" customFormat="1" ht="20.25">
      <c r="A76" s="287"/>
      <c r="B76" s="42" t="s">
        <v>192</v>
      </c>
      <c r="C76" s="42">
        <f>M43</f>
        <v>5.521152</v>
      </c>
      <c r="D76" s="46">
        <f t="shared" si="10"/>
        <v>0.1808694170881022</v>
      </c>
      <c r="E76" s="46">
        <f t="shared" si="11"/>
        <v>0.2010875105346046</v>
      </c>
      <c r="F76" s="46">
        <f t="shared" si="12"/>
        <v>4.19714320599172</v>
      </c>
      <c r="G76" s="46">
        <f t="shared" si="13"/>
        <v>0.6457143393833416</v>
      </c>
      <c r="H76" s="47">
        <f t="shared" si="14"/>
        <v>8</v>
      </c>
      <c r="I76" s="42">
        <v>100</v>
      </c>
    </row>
    <row r="77" spans="1:9" s="20" customFormat="1" ht="20.25">
      <c r="A77" s="287"/>
      <c r="B77" s="42" t="s">
        <v>193</v>
      </c>
      <c r="C77" s="42">
        <f>N43</f>
        <v>1.567104</v>
      </c>
      <c r="D77" s="46">
        <f>C77/($N$2*$N$3*$J$3*$N$6*$N$6)</f>
        <v>0.05133732724555189</v>
      </c>
      <c r="E77" s="46">
        <f t="shared" si="11"/>
        <v>0.05272741752497856</v>
      </c>
      <c r="F77" s="46">
        <f t="shared" si="12"/>
        <v>1.100538375785247</v>
      </c>
      <c r="G77" s="46">
        <f>F77/($N$3*$N$6)/100</f>
        <v>0.16931359627465337</v>
      </c>
      <c r="H77" s="47">
        <f t="shared" si="14"/>
        <v>6</v>
      </c>
      <c r="I77" s="42">
        <v>150</v>
      </c>
    </row>
    <row r="78" s="20" customFormat="1" ht="18.75"/>
    <row r="79" s="20" customFormat="1" ht="18.75"/>
    <row r="80" s="20" customFormat="1" ht="18.75"/>
    <row r="81" s="20" customFormat="1" ht="18.75"/>
    <row r="82" s="20" customFormat="1" ht="18.75"/>
    <row r="83" s="20" customFormat="1" ht="18.75"/>
    <row r="84" s="20" customFormat="1" ht="18.75"/>
    <row r="85" s="20" customFormat="1" ht="18.75"/>
    <row r="86" s="20" customFormat="1" ht="18.75"/>
    <row r="87" s="20" customFormat="1" ht="18.75"/>
    <row r="88" s="20" customFormat="1" ht="18.75"/>
    <row r="89" s="20" customFormat="1" ht="18.75"/>
    <row r="90" s="20" customFormat="1" ht="18.75"/>
    <row r="91" s="20" customFormat="1" ht="18.75"/>
    <row r="92" s="20" customFormat="1" ht="18.75"/>
    <row r="93" s="20" customFormat="1" ht="18.75"/>
    <row r="94" s="20" customFormat="1" ht="18.75"/>
    <row r="95" s="20" customFormat="1" ht="18.75"/>
    <row r="96" s="20" customFormat="1" ht="18.75"/>
    <row r="97" s="20" customFormat="1" ht="18.75"/>
    <row r="98" s="20" customFormat="1" ht="18.75"/>
    <row r="99" s="20" customFormat="1" ht="18.75"/>
    <row r="100" s="20" customFormat="1" ht="18.75"/>
    <row r="101" s="20" customFormat="1" ht="18.75"/>
    <row r="102" s="20" customFormat="1" ht="18.75"/>
    <row r="103" s="20" customFormat="1" ht="18.75"/>
    <row r="104" s="20" customFormat="1" ht="18.75"/>
  </sheetData>
  <mergeCells count="18">
    <mergeCell ref="A62:A65"/>
    <mergeCell ref="A66:A69"/>
    <mergeCell ref="A70:A73"/>
    <mergeCell ref="A74:A77"/>
    <mergeCell ref="A46:A49"/>
    <mergeCell ref="A50:A53"/>
    <mergeCell ref="A54:A57"/>
    <mergeCell ref="A58:A61"/>
    <mergeCell ref="A17:A18"/>
    <mergeCell ref="A19:A20"/>
    <mergeCell ref="A21:A22"/>
    <mergeCell ref="A23:A24"/>
    <mergeCell ref="A31:B31"/>
    <mergeCell ref="A32:F32"/>
    <mergeCell ref="A33:F33"/>
    <mergeCell ref="A25:A26"/>
    <mergeCell ref="A27:A28"/>
    <mergeCell ref="A29:A30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5"/>
  <sheetViews>
    <sheetView workbookViewId="0" topLeftCell="A18">
      <selection activeCell="K96" sqref="K96"/>
    </sheetView>
  </sheetViews>
  <sheetFormatPr defaultColWidth="9.140625" defaultRowHeight="12.75"/>
  <cols>
    <col min="1" max="1" width="8.140625" style="70" customWidth="1"/>
    <col min="2" max="2" width="9.28125" style="0" customWidth="1"/>
    <col min="3" max="3" width="5.421875" style="0" hidden="1" customWidth="1"/>
    <col min="4" max="4" width="0.13671875" style="0" hidden="1" customWidth="1"/>
    <col min="5" max="5" width="7.00390625" style="0" hidden="1" customWidth="1"/>
    <col min="6" max="6" width="2.57421875" style="0" hidden="1" customWidth="1"/>
    <col min="7" max="7" width="6.28125" style="0" hidden="1" customWidth="1"/>
    <col min="8" max="8" width="9.28125" style="0" customWidth="1"/>
    <col min="9" max="9" width="7.140625" style="0" customWidth="1"/>
    <col min="10" max="10" width="7.00390625" style="0" customWidth="1"/>
    <col min="11" max="11" width="8.57421875" style="0" customWidth="1"/>
    <col min="12" max="12" width="11.28125" style="0" customWidth="1"/>
    <col min="13" max="13" width="8.140625" style="0" customWidth="1"/>
    <col min="14" max="14" width="7.57421875" style="0" customWidth="1"/>
    <col min="15" max="15" width="6.7109375" style="0" customWidth="1"/>
  </cols>
  <sheetData>
    <row r="1" spans="1:16" ht="18.75">
      <c r="A1" s="17" t="s">
        <v>48</v>
      </c>
      <c r="B1" s="32" t="s">
        <v>32</v>
      </c>
      <c r="C1" s="18" t="s">
        <v>42</v>
      </c>
      <c r="D1" s="32" t="s">
        <v>58</v>
      </c>
      <c r="E1" s="52"/>
      <c r="F1" s="52"/>
      <c r="G1" s="52"/>
      <c r="H1" s="52"/>
      <c r="J1" s="52"/>
      <c r="K1" s="292" t="s">
        <v>110</v>
      </c>
      <c r="L1" s="22" t="s">
        <v>49</v>
      </c>
      <c r="M1" s="22" t="s">
        <v>50</v>
      </c>
      <c r="N1" s="23" t="s">
        <v>51</v>
      </c>
      <c r="O1" s="22" t="s">
        <v>52</v>
      </c>
      <c r="P1" s="22" t="s">
        <v>53</v>
      </c>
    </row>
    <row r="2" spans="1:16" ht="18.75">
      <c r="A2" s="68" t="s">
        <v>62</v>
      </c>
      <c r="B2" s="35">
        <f>0.85*10^4</f>
        <v>8500</v>
      </c>
      <c r="C2" s="34" t="s">
        <v>63</v>
      </c>
      <c r="D2" s="35">
        <v>225000</v>
      </c>
      <c r="E2" s="52"/>
      <c r="F2" s="52"/>
      <c r="G2" s="52"/>
      <c r="H2" s="52"/>
      <c r="J2" s="52"/>
      <c r="K2" s="292"/>
      <c r="L2" s="26" t="s">
        <v>56</v>
      </c>
      <c r="M2" s="27">
        <v>0.02</v>
      </c>
      <c r="N2" s="28">
        <v>20</v>
      </c>
      <c r="O2" s="28">
        <v>1.1</v>
      </c>
      <c r="P2" s="29">
        <f>M2*N2*O2</f>
        <v>0.44000000000000006</v>
      </c>
    </row>
    <row r="3" spans="1:16" ht="18.75">
      <c r="A3" s="68" t="s">
        <v>67</v>
      </c>
      <c r="B3" s="35">
        <v>750</v>
      </c>
      <c r="C3" s="34" t="s">
        <v>68</v>
      </c>
      <c r="D3" s="35">
        <v>225000</v>
      </c>
      <c r="E3" s="52"/>
      <c r="F3" s="52"/>
      <c r="G3" s="52"/>
      <c r="H3" s="52"/>
      <c r="J3" s="52"/>
      <c r="K3" s="292"/>
      <c r="L3" s="26" t="s">
        <v>60</v>
      </c>
      <c r="M3" s="27">
        <v>0.02</v>
      </c>
      <c r="N3" s="28">
        <v>18</v>
      </c>
      <c r="O3" s="28">
        <v>1.2</v>
      </c>
      <c r="P3" s="29">
        <f>M3*N3*O3</f>
        <v>0.432</v>
      </c>
    </row>
    <row r="4" spans="1:16" ht="18.75">
      <c r="A4" s="68" t="s">
        <v>72</v>
      </c>
      <c r="B4" s="35">
        <v>240000</v>
      </c>
      <c r="C4" s="34" t="s">
        <v>73</v>
      </c>
      <c r="D4" s="35">
        <v>2100000</v>
      </c>
      <c r="E4" s="52"/>
      <c r="F4" s="52"/>
      <c r="G4" s="52"/>
      <c r="H4" s="52"/>
      <c r="J4" s="52"/>
      <c r="K4" s="292"/>
      <c r="L4" s="26" t="s">
        <v>65</v>
      </c>
      <c r="M4" s="27">
        <v>0.015</v>
      </c>
      <c r="N4" s="28">
        <v>18</v>
      </c>
      <c r="O4" s="28">
        <v>1.2</v>
      </c>
      <c r="P4" s="29">
        <f>M4*N4*O4</f>
        <v>0.324</v>
      </c>
    </row>
    <row r="5" spans="1:16" ht="18.75">
      <c r="A5" s="69" t="s">
        <v>59</v>
      </c>
      <c r="B5" s="33">
        <v>0.85</v>
      </c>
      <c r="C5" s="52"/>
      <c r="D5" s="53"/>
      <c r="E5" s="52"/>
      <c r="F5" s="52"/>
      <c r="G5" s="52"/>
      <c r="H5" s="52"/>
      <c r="I5" s="52"/>
      <c r="J5" s="52"/>
      <c r="K5" s="292"/>
      <c r="L5" s="26" t="s">
        <v>70</v>
      </c>
      <c r="M5" s="27">
        <v>0.08</v>
      </c>
      <c r="N5" s="28">
        <v>25</v>
      </c>
      <c r="O5" s="28">
        <v>1.1</v>
      </c>
      <c r="P5" s="29">
        <f>M5*N5*O5</f>
        <v>2.2</v>
      </c>
    </row>
    <row r="6" spans="1:16" ht="18.75">
      <c r="A6" s="17" t="s">
        <v>64</v>
      </c>
      <c r="B6" s="36">
        <v>0.25</v>
      </c>
      <c r="C6" s="52"/>
      <c r="D6" s="53"/>
      <c r="E6" s="52"/>
      <c r="F6" s="52"/>
      <c r="G6" s="52"/>
      <c r="H6" s="52"/>
      <c r="I6" s="52"/>
      <c r="J6" s="52"/>
      <c r="K6" s="292"/>
      <c r="L6" s="26" t="s">
        <v>40</v>
      </c>
      <c r="M6" s="26"/>
      <c r="N6" s="26"/>
      <c r="O6" s="26"/>
      <c r="P6" s="29">
        <f>SUM(P2:P5)</f>
        <v>3.3960000000000004</v>
      </c>
    </row>
    <row r="7" spans="1:16" ht="16.5">
      <c r="A7" s="17" t="s">
        <v>69</v>
      </c>
      <c r="B7" s="37">
        <f>D17</f>
        <v>0.35</v>
      </c>
      <c r="C7" s="52"/>
      <c r="D7" s="53"/>
      <c r="E7" s="52"/>
      <c r="F7" s="52"/>
      <c r="G7" s="52"/>
      <c r="H7" s="52"/>
      <c r="I7" s="52"/>
      <c r="J7" s="52"/>
      <c r="K7" s="54"/>
      <c r="L7" s="52"/>
      <c r="M7" s="52"/>
      <c r="N7" s="52"/>
      <c r="O7" s="52"/>
      <c r="P7" s="52"/>
    </row>
    <row r="8" spans="1:16" ht="16.5">
      <c r="A8" s="17" t="s">
        <v>74</v>
      </c>
      <c r="B8" s="36">
        <v>0.035</v>
      </c>
      <c r="C8" s="52"/>
      <c r="D8" s="53"/>
      <c r="E8" s="52"/>
      <c r="F8" s="52"/>
      <c r="G8" s="54"/>
      <c r="H8" s="54"/>
      <c r="I8" s="55"/>
      <c r="J8" s="55"/>
      <c r="K8" s="52"/>
      <c r="L8" s="52"/>
      <c r="M8" s="52"/>
      <c r="N8" s="52"/>
      <c r="O8" s="52"/>
      <c r="P8" s="52"/>
    </row>
    <row r="9" spans="1:16" ht="19.5">
      <c r="A9" s="52" t="s">
        <v>129</v>
      </c>
      <c r="B9" s="38">
        <f>B7-B8</f>
        <v>0.31499999999999995</v>
      </c>
      <c r="C9" s="52"/>
      <c r="D9" s="53"/>
      <c r="E9" s="52"/>
      <c r="F9" s="52"/>
      <c r="G9" s="52"/>
      <c r="H9" s="291" t="s">
        <v>111</v>
      </c>
      <c r="I9" s="291"/>
      <c r="J9" s="56">
        <v>3.6</v>
      </c>
      <c r="K9" s="52"/>
      <c r="L9" s="52"/>
      <c r="M9" s="52"/>
      <c r="N9" s="52"/>
      <c r="O9" s="52"/>
      <c r="P9" s="52"/>
    </row>
    <row r="10" spans="1:16" ht="16.5">
      <c r="A10" s="51" t="s">
        <v>88</v>
      </c>
      <c r="B10" s="52"/>
      <c r="C10" s="52"/>
      <c r="D10" s="53"/>
      <c r="E10" s="52"/>
      <c r="F10" s="52"/>
      <c r="G10" s="52"/>
      <c r="H10" s="52"/>
      <c r="I10" s="60"/>
      <c r="J10" s="52"/>
      <c r="K10" s="52"/>
      <c r="L10" s="52"/>
      <c r="M10" s="52"/>
      <c r="N10" s="52"/>
      <c r="O10" s="52"/>
      <c r="P10" s="52"/>
    </row>
    <row r="11" spans="1:16" ht="16.5">
      <c r="A11" s="17"/>
      <c r="B11" s="265" t="s">
        <v>89</v>
      </c>
      <c r="C11" s="266"/>
      <c r="D11" s="266"/>
      <c r="E11" s="266"/>
      <c r="F11" s="266"/>
      <c r="G11" s="266"/>
      <c r="H11" s="267"/>
      <c r="I11" s="67"/>
      <c r="J11" s="17"/>
      <c r="K11" s="17"/>
      <c r="L11" s="17" t="s">
        <v>90</v>
      </c>
      <c r="M11" s="264" t="s">
        <v>114</v>
      </c>
      <c r="N11" s="264"/>
      <c r="O11" s="17" t="s">
        <v>90</v>
      </c>
      <c r="P11" s="1"/>
    </row>
    <row r="12" spans="1:15" s="1" customFormat="1" ht="19.5">
      <c r="A12" s="62"/>
      <c r="B12" s="62"/>
      <c r="C12" s="62"/>
      <c r="D12" s="73"/>
      <c r="E12" s="62" t="s">
        <v>91</v>
      </c>
      <c r="F12" s="62"/>
      <c r="G12" s="62" t="s">
        <v>7</v>
      </c>
      <c r="H12" s="62" t="s">
        <v>112</v>
      </c>
      <c r="I12" s="74" t="s">
        <v>92</v>
      </c>
      <c r="J12" s="62" t="s">
        <v>93</v>
      </c>
      <c r="K12" s="75" t="s">
        <v>94</v>
      </c>
      <c r="L12" s="72" t="s">
        <v>95</v>
      </c>
      <c r="M12" s="72" t="s">
        <v>55</v>
      </c>
      <c r="N12" s="72" t="s">
        <v>96</v>
      </c>
      <c r="O12" s="62"/>
    </row>
    <row r="13" spans="1:16" ht="16.5">
      <c r="A13" s="290" t="s">
        <v>97</v>
      </c>
      <c r="B13" s="289" t="s">
        <v>98</v>
      </c>
      <c r="C13" s="17" t="s">
        <v>99</v>
      </c>
      <c r="D13" s="63">
        <v>1.5</v>
      </c>
      <c r="E13" s="61">
        <f>IF(D13&gt;D14,D13/D14,D14/D13)</f>
        <v>2.8000000000000003</v>
      </c>
      <c r="F13" s="17">
        <f>IF(E13&lt;2,2,1)</f>
        <v>1</v>
      </c>
      <c r="G13" s="17">
        <f>IF(F13=2,D13/(2*$D$14),0)</f>
        <v>0</v>
      </c>
      <c r="H13" s="17"/>
      <c r="I13" s="61">
        <f>IF(F13=2,(1-2*(G13)^2+(G13)^3)*$P$6*D13/2,$P$6*D13/2)</f>
        <v>2.547</v>
      </c>
      <c r="J13" s="17"/>
      <c r="K13" s="17"/>
      <c r="L13" s="17"/>
      <c r="M13" s="64">
        <v>3.6</v>
      </c>
      <c r="N13" s="61">
        <f>IF(F13=2,(1-2*(G13)^2+(G13)^3)*M13*D13/2,M13*D13/2)</f>
        <v>2.7</v>
      </c>
      <c r="O13" s="17"/>
      <c r="P13" s="5"/>
    </row>
    <row r="14" spans="1:15" ht="16.5">
      <c r="A14" s="290"/>
      <c r="B14" s="289"/>
      <c r="C14" s="17" t="s">
        <v>100</v>
      </c>
      <c r="D14" s="63">
        <v>4.2</v>
      </c>
      <c r="E14" s="17"/>
      <c r="F14" s="17"/>
      <c r="G14" s="17"/>
      <c r="H14" s="17">
        <f>0.1*18*($J$9-D17)</f>
        <v>5.8500000000000005</v>
      </c>
      <c r="I14" s="61"/>
      <c r="J14" s="61">
        <f>I13+I15</f>
        <v>6.856362847222224</v>
      </c>
      <c r="K14" s="61">
        <f>D16*D17*N5*1.1</f>
        <v>2.40625</v>
      </c>
      <c r="L14" s="65">
        <f>J14+K14+H14</f>
        <v>15.112612847222223</v>
      </c>
      <c r="M14" s="64"/>
      <c r="N14" s="61"/>
      <c r="O14" s="65">
        <f>N13+N15</f>
        <v>5.745486111111111</v>
      </c>
    </row>
    <row r="15" spans="1:15" ht="16.5">
      <c r="A15" s="290"/>
      <c r="B15" s="289"/>
      <c r="C15" s="17" t="s">
        <v>101</v>
      </c>
      <c r="D15" s="63">
        <v>3.5</v>
      </c>
      <c r="E15" s="61">
        <f>IF(D15&gt;D14,D15/D14,D14/D15)</f>
        <v>1.2</v>
      </c>
      <c r="F15" s="17">
        <f>IF(E15&lt;2,2,1)</f>
        <v>2</v>
      </c>
      <c r="G15" s="17">
        <f>IF(F15=2,D15/(2*$D$14),0)</f>
        <v>0.41666666666666663</v>
      </c>
      <c r="H15" s="17"/>
      <c r="I15" s="61">
        <f>IF(F15=2,(1-2*(G15)^2+(G15)^3)*$P$6*D15/2,$P$6*D15/2)</f>
        <v>4.309362847222223</v>
      </c>
      <c r="J15" s="17"/>
      <c r="K15" s="17"/>
      <c r="L15" s="17"/>
      <c r="M15" s="64">
        <v>2.4</v>
      </c>
      <c r="N15" s="61">
        <f>IF(F15=2,(1-2*(G15)^2+(G15)^3)*M15*D15/2,M15*D15/2)</f>
        <v>3.0454861111111113</v>
      </c>
      <c r="O15" s="17"/>
    </row>
    <row r="16" spans="1:16" ht="16.5" hidden="1">
      <c r="A16" s="290"/>
      <c r="B16" s="289"/>
      <c r="C16" s="17" t="s">
        <v>7</v>
      </c>
      <c r="D16" s="66">
        <v>0.25</v>
      </c>
      <c r="E16" s="17"/>
      <c r="F16" s="17"/>
      <c r="G16" s="17"/>
      <c r="H16" s="17"/>
      <c r="I16" s="61"/>
      <c r="J16" s="17"/>
      <c r="K16" s="17"/>
      <c r="L16" s="17"/>
      <c r="M16" s="64"/>
      <c r="N16" s="61"/>
      <c r="O16" s="17"/>
      <c r="P16" s="5"/>
    </row>
    <row r="17" spans="1:15" ht="16.5" hidden="1">
      <c r="A17" s="290"/>
      <c r="B17" s="289"/>
      <c r="C17" s="17" t="s">
        <v>8</v>
      </c>
      <c r="D17" s="66">
        <v>0.35</v>
      </c>
      <c r="E17" s="17"/>
      <c r="F17" s="17"/>
      <c r="G17" s="17"/>
      <c r="H17" s="17"/>
      <c r="I17" s="61"/>
      <c r="J17" s="17"/>
      <c r="K17" s="17"/>
      <c r="L17" s="17"/>
      <c r="M17" s="64"/>
      <c r="N17" s="61"/>
      <c r="O17" s="17"/>
    </row>
    <row r="18" spans="1:15" ht="16.5">
      <c r="A18" s="290"/>
      <c r="B18" s="289" t="s">
        <v>102</v>
      </c>
      <c r="C18" s="17" t="s">
        <v>99</v>
      </c>
      <c r="D18" s="63">
        <v>1.5</v>
      </c>
      <c r="E18" s="61">
        <f>IF(D18&gt;D19,D18/D19,D19/D18)</f>
        <v>2.8000000000000003</v>
      </c>
      <c r="F18" s="17">
        <f>IF(E18&lt;2,2,1)</f>
        <v>1</v>
      </c>
      <c r="G18" s="17">
        <f>IF(F18=2,D18/(2*D19),0)</f>
        <v>0</v>
      </c>
      <c r="H18" s="17"/>
      <c r="I18" s="61">
        <f>IF(F18=2,(1-2*(G18)^2+(G18)^3)*$P$6*D18/2,$P$6*D18/2)</f>
        <v>2.547</v>
      </c>
      <c r="J18" s="17"/>
      <c r="K18" s="17"/>
      <c r="L18" s="17"/>
      <c r="M18" s="64">
        <v>3.6</v>
      </c>
      <c r="N18" s="61">
        <f>IF(F18=2,(1-2*(G18)^2+(G18)^3)*M18*D18/2,M18*D18/2)</f>
        <v>2.7</v>
      </c>
      <c r="O18" s="17"/>
    </row>
    <row r="19" spans="1:16" ht="16.5">
      <c r="A19" s="290"/>
      <c r="B19" s="289"/>
      <c r="C19" s="17" t="s">
        <v>100</v>
      </c>
      <c r="D19" s="63">
        <v>4.2</v>
      </c>
      <c r="E19" s="17"/>
      <c r="F19" s="17"/>
      <c r="G19" s="17"/>
      <c r="H19" s="17">
        <f>0.1*18*($J$9-D22)</f>
        <v>5.8500000000000005</v>
      </c>
      <c r="I19" s="61"/>
      <c r="J19" s="61">
        <f>I18+I20</f>
        <v>6.856362847222224</v>
      </c>
      <c r="K19" s="61">
        <f>D21*D22*$N$5*1.1</f>
        <v>2.40625</v>
      </c>
      <c r="L19" s="65">
        <f>J19+K19+H19</f>
        <v>15.112612847222223</v>
      </c>
      <c r="M19" s="64"/>
      <c r="N19" s="61"/>
      <c r="O19" s="65">
        <f>N18+N20</f>
        <v>5.745486111111111</v>
      </c>
      <c r="P19" s="5"/>
    </row>
    <row r="20" spans="1:15" ht="19.5" customHeight="1">
      <c r="A20" s="290"/>
      <c r="B20" s="289"/>
      <c r="C20" s="17" t="s">
        <v>101</v>
      </c>
      <c r="D20" s="63">
        <v>3.5</v>
      </c>
      <c r="E20" s="61">
        <f>IF(D20&gt;D19,D20/D19,D19/D20)</f>
        <v>1.2</v>
      </c>
      <c r="F20" s="17">
        <f>IF(E20&lt;2,2,1)</f>
        <v>2</v>
      </c>
      <c r="G20" s="17">
        <f>IF(F20=2,D20/(2*$D19),0)</f>
        <v>0.41666666666666663</v>
      </c>
      <c r="H20" s="17"/>
      <c r="I20" s="61">
        <f>IF(F20=2,(1-2*(G20)^2+(G20)^3)*$P$6*D20/2,$P$6*D20/2)</f>
        <v>4.309362847222223</v>
      </c>
      <c r="J20" s="17"/>
      <c r="K20" s="17"/>
      <c r="L20" s="17"/>
      <c r="M20" s="64">
        <v>2.4</v>
      </c>
      <c r="N20" s="61">
        <f>IF(F20=2,(1-2*(G20)^2+(G20)^3)*M20*D20/2,M20*D20/2)</f>
        <v>3.0454861111111113</v>
      </c>
      <c r="O20" s="17"/>
    </row>
    <row r="21" spans="1:15" ht="3.75" customHeight="1" hidden="1">
      <c r="A21" s="290"/>
      <c r="B21" s="289"/>
      <c r="C21" s="17" t="s">
        <v>7</v>
      </c>
      <c r="D21" s="66">
        <v>0.25</v>
      </c>
      <c r="E21" s="17"/>
      <c r="F21" s="17"/>
      <c r="G21" s="17"/>
      <c r="H21" s="17"/>
      <c r="I21" s="61"/>
      <c r="J21" s="17"/>
      <c r="K21" s="17"/>
      <c r="L21" s="17"/>
      <c r="M21" s="64"/>
      <c r="N21" s="61"/>
      <c r="O21" s="17"/>
    </row>
    <row r="22" spans="1:16" ht="16.5" hidden="1">
      <c r="A22" s="290"/>
      <c r="B22" s="289"/>
      <c r="C22" s="17" t="s">
        <v>8</v>
      </c>
      <c r="D22" s="66">
        <v>0.35</v>
      </c>
      <c r="E22" s="17"/>
      <c r="F22" s="17"/>
      <c r="G22" s="17"/>
      <c r="H22" s="17"/>
      <c r="I22" s="61"/>
      <c r="J22" s="17"/>
      <c r="K22" s="17"/>
      <c r="L22" s="17"/>
      <c r="M22" s="64"/>
      <c r="N22" s="61"/>
      <c r="O22" s="17"/>
      <c r="P22" s="5"/>
    </row>
    <row r="23" spans="1:15" ht="16.5">
      <c r="A23" s="290"/>
      <c r="B23" s="289" t="s">
        <v>125</v>
      </c>
      <c r="C23" s="17" t="s">
        <v>99</v>
      </c>
      <c r="D23" s="63">
        <v>1.5</v>
      </c>
      <c r="E23" s="61">
        <f>IF(D23&gt;D24,D23/D24,D24/D23)</f>
        <v>2.8000000000000003</v>
      </c>
      <c r="F23" s="17">
        <f>IF(E23&lt;2,2,1)</f>
        <v>1</v>
      </c>
      <c r="G23" s="17">
        <f>IF(F23=2,D23/(2*D24),0)</f>
        <v>0</v>
      </c>
      <c r="H23" s="17"/>
      <c r="I23" s="61">
        <f>IF(F23=2,(1-2*(G23)^2+(G23)^3)*$P$6*D23/2,$P$6*D23/2)</f>
        <v>2.547</v>
      </c>
      <c r="J23" s="17"/>
      <c r="K23" s="17"/>
      <c r="L23" s="17"/>
      <c r="M23" s="64">
        <v>3.6</v>
      </c>
      <c r="N23" s="61">
        <f>IF(F23=2,(1-2*(G23)^2+(G23)^3)*M23*D23/2,M23*D23/2)</f>
        <v>2.7</v>
      </c>
      <c r="O23" s="17"/>
    </row>
    <row r="24" spans="1:16" ht="16.5">
      <c r="A24" s="290"/>
      <c r="B24" s="289"/>
      <c r="C24" s="17" t="s">
        <v>100</v>
      </c>
      <c r="D24" s="63">
        <v>4.2</v>
      </c>
      <c r="E24" s="17"/>
      <c r="F24" s="17"/>
      <c r="G24" s="17"/>
      <c r="H24" s="17">
        <f>0.1*18*($J$9-D27)</f>
        <v>5.8500000000000005</v>
      </c>
      <c r="I24" s="61"/>
      <c r="J24" s="61">
        <f>I23+I25</f>
        <v>6.856362847222224</v>
      </c>
      <c r="K24" s="61">
        <f>D26*D27*$N$5*1.1</f>
        <v>2.40625</v>
      </c>
      <c r="L24" s="65">
        <f>J24+K24+H24</f>
        <v>15.112612847222223</v>
      </c>
      <c r="M24" s="64"/>
      <c r="N24" s="61"/>
      <c r="O24" s="65">
        <f>N23+N25</f>
        <v>9.298553240740741</v>
      </c>
      <c r="P24" s="52"/>
    </row>
    <row r="25" spans="1:16" ht="15" customHeight="1">
      <c r="A25" s="290"/>
      <c r="B25" s="289"/>
      <c r="C25" s="17" t="s">
        <v>101</v>
      </c>
      <c r="D25" s="63">
        <v>3.5</v>
      </c>
      <c r="E25" s="61">
        <f>IF(D25&gt;D24,D25/D24,D24/D25)</f>
        <v>1.2</v>
      </c>
      <c r="F25" s="17">
        <f>IF(E25&lt;2,2,1)</f>
        <v>2</v>
      </c>
      <c r="G25" s="17">
        <f>IF(F25=2,D25/(2*$D24),0)</f>
        <v>0.41666666666666663</v>
      </c>
      <c r="H25" s="17"/>
      <c r="I25" s="61">
        <f>IF(F25=2,(1-2*(G25)^2+(G25)^3)*$P$6*D25/2,$P$6*D25/2)</f>
        <v>4.309362847222223</v>
      </c>
      <c r="J25" s="17"/>
      <c r="K25" s="17"/>
      <c r="L25" s="17"/>
      <c r="M25" s="64">
        <v>5.2</v>
      </c>
      <c r="N25" s="61">
        <f>IF(F25=2,(1-2*(G25)^2+(G25)^3)*M25*D25/2,M25*D25/2)</f>
        <v>6.598553240740742</v>
      </c>
      <c r="O25" s="17"/>
      <c r="P25" s="52"/>
    </row>
    <row r="26" spans="1:16" ht="0.75" customHeight="1" hidden="1">
      <c r="A26" s="290"/>
      <c r="B26" s="289"/>
      <c r="C26" s="17" t="s">
        <v>7</v>
      </c>
      <c r="D26" s="66">
        <v>0.25</v>
      </c>
      <c r="E26" s="61">
        <f>IF(D26&gt;D25,D26/D25,D25/D26)</f>
        <v>14</v>
      </c>
      <c r="F26" s="17"/>
      <c r="G26" s="17"/>
      <c r="H26" s="17"/>
      <c r="I26" s="61"/>
      <c r="J26" s="17"/>
      <c r="K26" s="17"/>
      <c r="L26" s="17"/>
      <c r="M26" s="17"/>
      <c r="N26" s="61"/>
      <c r="O26" s="17"/>
      <c r="P26" s="52"/>
    </row>
    <row r="27" spans="1:16" ht="16.5" hidden="1">
      <c r="A27" s="290"/>
      <c r="B27" s="289"/>
      <c r="C27" s="17" t="s">
        <v>8</v>
      </c>
      <c r="D27" s="66">
        <v>0.35</v>
      </c>
      <c r="E27" s="61">
        <f>IF(D27&gt;D26,D27/D26,D26/D27)</f>
        <v>1.4</v>
      </c>
      <c r="F27" s="17"/>
      <c r="G27" s="17"/>
      <c r="H27" s="17"/>
      <c r="I27" s="61"/>
      <c r="J27" s="17"/>
      <c r="K27" s="17"/>
      <c r="L27" s="17"/>
      <c r="M27" s="17"/>
      <c r="N27" s="61"/>
      <c r="O27" s="17"/>
      <c r="P27" s="52"/>
    </row>
    <row r="28" spans="1:16" ht="16.5">
      <c r="A28" s="290"/>
      <c r="B28" s="15" t="s">
        <v>126</v>
      </c>
      <c r="C28" s="67" t="s">
        <v>127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1"/>
      <c r="O28" s="17"/>
      <c r="P28" s="52"/>
    </row>
    <row r="29" spans="1:16" ht="16.5">
      <c r="A29" s="290"/>
      <c r="B29" s="289" t="s">
        <v>103</v>
      </c>
      <c r="C29" s="17" t="s">
        <v>99</v>
      </c>
      <c r="D29" s="63">
        <v>1.5</v>
      </c>
      <c r="E29" s="61">
        <f>IF(D29&gt;D30,D29/D30,D30/D29)</f>
        <v>2.8000000000000003</v>
      </c>
      <c r="F29" s="17">
        <f>IF(E29&lt;2,2,1)</f>
        <v>1</v>
      </c>
      <c r="G29" s="17">
        <f>IF(F29=2,D29/(2*D30),0)</f>
        <v>0</v>
      </c>
      <c r="H29" s="67"/>
      <c r="I29" s="61">
        <f>IF(F29=2,(1-2*(G29)^2+(G29)^3)*$P$6*D29/2,$P$6*D29/2)</f>
        <v>2.547</v>
      </c>
      <c r="J29" s="17"/>
      <c r="K29" s="17"/>
      <c r="L29" s="17"/>
      <c r="M29" s="64">
        <v>3.6</v>
      </c>
      <c r="N29" s="61">
        <f>IF(F29=2,(1-2*(G29)^2+(G29)^3)*M29*D29/2,M29*D29/2)</f>
        <v>2.7</v>
      </c>
      <c r="O29" s="17"/>
      <c r="P29" s="52"/>
    </row>
    <row r="30" spans="1:16" ht="16.5">
      <c r="A30" s="290"/>
      <c r="B30" s="289"/>
      <c r="C30" s="17" t="s">
        <v>100</v>
      </c>
      <c r="D30" s="63">
        <v>4.2</v>
      </c>
      <c r="E30" s="17"/>
      <c r="F30" s="17"/>
      <c r="G30" s="17"/>
      <c r="H30" s="17">
        <f>0.1*18*($J$9-D33)</f>
        <v>5.8500000000000005</v>
      </c>
      <c r="I30" s="61"/>
      <c r="J30" s="61">
        <f>I29+I31</f>
        <v>6.856362847222224</v>
      </c>
      <c r="K30" s="61">
        <f>D32*D33*$N$5*1.1</f>
        <v>2.40625</v>
      </c>
      <c r="L30" s="65">
        <f>J30+K30+H30</f>
        <v>15.112612847222223</v>
      </c>
      <c r="M30" s="64"/>
      <c r="N30" s="61"/>
      <c r="O30" s="65">
        <f>N29+N31</f>
        <v>5.745486111111111</v>
      </c>
      <c r="P30" s="52"/>
    </row>
    <row r="31" spans="1:16" ht="15.75" customHeight="1">
      <c r="A31" s="290"/>
      <c r="B31" s="289"/>
      <c r="C31" s="17" t="s">
        <v>101</v>
      </c>
      <c r="D31" s="63">
        <v>3.5</v>
      </c>
      <c r="E31" s="61">
        <f>IF(D31&gt;D30,D31/D30,D30/D31)</f>
        <v>1.2</v>
      </c>
      <c r="F31" s="17">
        <f>IF(E31&lt;2,2,1)</f>
        <v>2</v>
      </c>
      <c r="G31" s="17">
        <f>IF(F31=2,D31/(2*$D30),0)</f>
        <v>0.41666666666666663</v>
      </c>
      <c r="H31" s="17"/>
      <c r="I31" s="61">
        <f>IF(F31=2,(1-2*(G31)^2+(G31)^3)*$P$6*D31/2,5*$P$6*D31/16)</f>
        <v>4.309362847222223</v>
      </c>
      <c r="J31" s="17"/>
      <c r="K31" s="17"/>
      <c r="L31" s="17"/>
      <c r="M31" s="64">
        <v>2.4</v>
      </c>
      <c r="N31" s="61">
        <f>IF(F31=2,(1-2*(G31)^2+(G31)^3)*M31*D31/2,M31*D31/2)</f>
        <v>3.0454861111111113</v>
      </c>
      <c r="O31" s="17"/>
      <c r="P31" s="52"/>
    </row>
    <row r="32" spans="1:16" ht="16.5" hidden="1">
      <c r="A32" s="290"/>
      <c r="B32" s="289"/>
      <c r="C32" s="17" t="s">
        <v>7</v>
      </c>
      <c r="D32" s="66">
        <v>0.25</v>
      </c>
      <c r="E32" s="17"/>
      <c r="F32" s="17"/>
      <c r="G32" s="17"/>
      <c r="H32" s="17"/>
      <c r="I32" s="61"/>
      <c r="J32" s="17"/>
      <c r="K32" s="17"/>
      <c r="L32" s="17"/>
      <c r="M32" s="64"/>
      <c r="N32" s="61"/>
      <c r="O32" s="17"/>
      <c r="P32" s="52"/>
    </row>
    <row r="33" spans="1:16" ht="16.5" hidden="1">
      <c r="A33" s="290"/>
      <c r="B33" s="289"/>
      <c r="C33" s="17" t="s">
        <v>8</v>
      </c>
      <c r="D33" s="66">
        <v>0.35</v>
      </c>
      <c r="E33" s="17"/>
      <c r="F33" s="17"/>
      <c r="G33" s="17"/>
      <c r="H33" s="17"/>
      <c r="I33" s="61"/>
      <c r="J33" s="17"/>
      <c r="K33" s="17"/>
      <c r="L33" s="17"/>
      <c r="M33" s="64"/>
      <c r="N33" s="61"/>
      <c r="O33" s="17"/>
      <c r="P33" s="52"/>
    </row>
    <row r="34" spans="1:16" ht="16.5">
      <c r="A34" s="290"/>
      <c r="B34" s="289" t="s">
        <v>104</v>
      </c>
      <c r="C34" s="17" t="s">
        <v>99</v>
      </c>
      <c r="D34" s="63">
        <v>1.5</v>
      </c>
      <c r="E34" s="61">
        <f>IF(D34&gt;D35,D34/D35,D35/D34)</f>
        <v>4</v>
      </c>
      <c r="F34" s="17">
        <f>IF(E34&lt;2,2,1)</f>
        <v>1</v>
      </c>
      <c r="G34" s="17">
        <f>IF(F34=2,D34/(2*D35),0)</f>
        <v>0</v>
      </c>
      <c r="H34" s="17"/>
      <c r="I34" s="61">
        <f>IF(F34=2,(1-2*(G34)^2+(G34)^3)*$P$6*D34/2,$P$6*D34/2)</f>
        <v>2.547</v>
      </c>
      <c r="J34" s="17"/>
      <c r="K34" s="17"/>
      <c r="L34" s="17"/>
      <c r="M34" s="64">
        <v>3.6</v>
      </c>
      <c r="N34" s="61">
        <f>IF(F34=2,(1-2*(G34)^2+(G34)^3)*M34*D34/2,M34*D34/2)</f>
        <v>2.7</v>
      </c>
      <c r="O34" s="17"/>
      <c r="P34" s="52"/>
    </row>
    <row r="35" spans="1:16" ht="16.5">
      <c r="A35" s="290"/>
      <c r="B35" s="289"/>
      <c r="C35" s="17" t="s">
        <v>100</v>
      </c>
      <c r="D35" s="63">
        <v>6</v>
      </c>
      <c r="E35" s="17"/>
      <c r="F35" s="17"/>
      <c r="G35" s="17"/>
      <c r="H35" s="17">
        <f>0.2*18*($J$9-D38)</f>
        <v>11.700000000000001</v>
      </c>
      <c r="I35" s="61"/>
      <c r="J35" s="61">
        <f>I34</f>
        <v>2.547</v>
      </c>
      <c r="K35" s="61">
        <f>D37*D38*$N$5*1.1</f>
        <v>2.40625</v>
      </c>
      <c r="L35" s="65">
        <f>J35+K35+H35</f>
        <v>16.65325</v>
      </c>
      <c r="M35" s="64"/>
      <c r="N35" s="61"/>
      <c r="O35" s="65">
        <f>N34+N36</f>
        <v>2.7</v>
      </c>
      <c r="P35" s="52"/>
    </row>
    <row r="36" spans="1:16" ht="16.5">
      <c r="A36" s="290"/>
      <c r="B36" s="289"/>
      <c r="C36" s="17" t="s">
        <v>101</v>
      </c>
      <c r="D36" s="66"/>
      <c r="E36" s="61"/>
      <c r="F36" s="17"/>
      <c r="G36" s="17"/>
      <c r="H36" s="17"/>
      <c r="I36" s="61"/>
      <c r="J36" s="17"/>
      <c r="K36" s="17"/>
      <c r="L36" s="17"/>
      <c r="M36" s="64"/>
      <c r="N36" s="61">
        <f>IF(F36=2,(1-2*(G36)^2+(G36)^3)*M36*D36/2,M36*D36/2)</f>
        <v>0</v>
      </c>
      <c r="O36" s="17"/>
      <c r="P36" s="52"/>
    </row>
    <row r="37" spans="1:16" ht="16.5" hidden="1">
      <c r="A37" s="290"/>
      <c r="B37" s="289"/>
      <c r="C37" s="17" t="s">
        <v>7</v>
      </c>
      <c r="D37" s="66">
        <v>0.25</v>
      </c>
      <c r="E37" s="17"/>
      <c r="F37" s="17"/>
      <c r="G37" s="17"/>
      <c r="H37" s="17"/>
      <c r="I37" s="61"/>
      <c r="J37" s="17"/>
      <c r="K37" s="17"/>
      <c r="L37" s="17"/>
      <c r="M37" s="64"/>
      <c r="N37" s="61"/>
      <c r="O37" s="17"/>
      <c r="P37" s="52"/>
    </row>
    <row r="38" spans="1:16" ht="0.75" customHeight="1" hidden="1">
      <c r="A38" s="290"/>
      <c r="B38" s="289"/>
      <c r="C38" s="17" t="s">
        <v>8</v>
      </c>
      <c r="D38" s="66">
        <v>0.35</v>
      </c>
      <c r="E38" s="17"/>
      <c r="F38" s="17"/>
      <c r="G38" s="17"/>
      <c r="H38" s="17"/>
      <c r="I38" s="61"/>
      <c r="J38" s="17"/>
      <c r="K38" s="17"/>
      <c r="L38" s="17"/>
      <c r="M38" s="64"/>
      <c r="N38" s="61"/>
      <c r="O38" s="17"/>
      <c r="P38" s="52"/>
    </row>
    <row r="39" spans="1:16" ht="16.5">
      <c r="A39" s="290"/>
      <c r="B39" s="289" t="s">
        <v>105</v>
      </c>
      <c r="C39" s="17" t="s">
        <v>99</v>
      </c>
      <c r="D39" s="63">
        <v>1.5</v>
      </c>
      <c r="E39" s="61">
        <f>IF(D39&gt;D40,D39/D40,D40/D39)</f>
        <v>2.8000000000000003</v>
      </c>
      <c r="F39" s="17">
        <f>IF(E39&lt;2,2,1)</f>
        <v>1</v>
      </c>
      <c r="G39" s="17">
        <f>IF(F39=2,D39/(2*D40),0)</f>
        <v>0</v>
      </c>
      <c r="H39" s="17"/>
      <c r="I39" s="61">
        <f>IF(F39=2,(1-2*(G39)^2+(G39)^3)*$P$6*D39/2,$P$6*D39/2)</f>
        <v>2.547</v>
      </c>
      <c r="J39" s="17"/>
      <c r="K39" s="17"/>
      <c r="L39" s="17"/>
      <c r="M39" s="64">
        <v>3.6</v>
      </c>
      <c r="N39" s="61">
        <f>IF(F39=2,(1-2*(G39)^2+(G39)^3)*M39*D39/2,M39*D39/2)</f>
        <v>2.7</v>
      </c>
      <c r="O39" s="17"/>
      <c r="P39" s="52"/>
    </row>
    <row r="40" spans="1:16" ht="16.5">
      <c r="A40" s="290"/>
      <c r="B40" s="289"/>
      <c r="C40" s="17" t="s">
        <v>100</v>
      </c>
      <c r="D40" s="63">
        <v>4.2</v>
      </c>
      <c r="E40" s="17"/>
      <c r="F40" s="17"/>
      <c r="G40" s="17"/>
      <c r="H40" s="17">
        <f>0.1*18*($J$9-D43)</f>
        <v>5.8500000000000005</v>
      </c>
      <c r="I40" s="61"/>
      <c r="J40" s="61">
        <f>I39+I41</f>
        <v>6.856362847222224</v>
      </c>
      <c r="K40" s="61">
        <f>D42*D43*$N$5*1.1</f>
        <v>2.40625</v>
      </c>
      <c r="L40" s="65">
        <f>J40+K40+H40</f>
        <v>15.112612847222223</v>
      </c>
      <c r="M40" s="64"/>
      <c r="N40" s="61"/>
      <c r="O40" s="65">
        <f>N39+N41</f>
        <v>9.298553240740741</v>
      </c>
      <c r="P40" s="52"/>
    </row>
    <row r="41" spans="1:16" ht="16.5">
      <c r="A41" s="290"/>
      <c r="B41" s="289"/>
      <c r="C41" s="17" t="s">
        <v>101</v>
      </c>
      <c r="D41" s="63">
        <v>3.5</v>
      </c>
      <c r="E41" s="61">
        <f>IF(D41&gt;D40,D41/D40,D40/D41)</f>
        <v>1.2</v>
      </c>
      <c r="F41" s="17">
        <f>IF(E41&lt;2,2,1)</f>
        <v>2</v>
      </c>
      <c r="G41" s="17">
        <f>IF(F41=2,D41/(2*$D40),0)</f>
        <v>0.41666666666666663</v>
      </c>
      <c r="H41" s="17"/>
      <c r="I41" s="61">
        <f>IF(F41=2,(1-2*(G41)^2+(G41)^3)*$P$6*D41/2,$P$6*D41/2)</f>
        <v>4.309362847222223</v>
      </c>
      <c r="J41" s="17"/>
      <c r="K41" s="17"/>
      <c r="L41" s="17"/>
      <c r="M41" s="64">
        <v>5.2</v>
      </c>
      <c r="N41" s="61">
        <f>IF(F41=2,(1-2*(G41)^2+(G41)^3)*M41*D41/2,M41*D41/2)</f>
        <v>6.598553240740742</v>
      </c>
      <c r="O41" s="17"/>
      <c r="P41" s="52"/>
    </row>
    <row r="42" spans="1:16" ht="16.5" hidden="1">
      <c r="A42" s="290"/>
      <c r="B42" s="289"/>
      <c r="C42" s="17" t="s">
        <v>7</v>
      </c>
      <c r="D42" s="66">
        <v>0.25</v>
      </c>
      <c r="E42" s="17"/>
      <c r="F42" s="17"/>
      <c r="G42" s="17"/>
      <c r="H42" s="17"/>
      <c r="I42" s="61"/>
      <c r="J42" s="17"/>
      <c r="K42" s="17"/>
      <c r="L42" s="17"/>
      <c r="M42" s="17"/>
      <c r="N42" s="61"/>
      <c r="O42" s="17"/>
      <c r="P42" s="52"/>
    </row>
    <row r="43" spans="1:16" ht="16.5" hidden="1">
      <c r="A43" s="290"/>
      <c r="B43" s="289"/>
      <c r="C43" s="17" t="s">
        <v>8</v>
      </c>
      <c r="D43" s="66">
        <v>0.35</v>
      </c>
      <c r="E43" s="17"/>
      <c r="F43" s="17"/>
      <c r="G43" s="17"/>
      <c r="H43" s="17"/>
      <c r="I43" s="61"/>
      <c r="J43" s="17"/>
      <c r="K43" s="17"/>
      <c r="L43" s="17"/>
      <c r="M43" s="17"/>
      <c r="N43" s="61"/>
      <c r="O43" s="17"/>
      <c r="P43" s="52"/>
    </row>
    <row r="44" spans="1:16" ht="16.5">
      <c r="A44" s="290"/>
      <c r="B44" s="289" t="s">
        <v>106</v>
      </c>
      <c r="C44" s="17" t="s">
        <v>99</v>
      </c>
      <c r="D44" s="63">
        <v>1.5</v>
      </c>
      <c r="E44" s="61">
        <f>IF(D44&gt;D45,D44/D45,D45/D44)</f>
        <v>2.8000000000000003</v>
      </c>
      <c r="F44" s="17">
        <f>IF(E44&lt;2,2,1)</f>
        <v>1</v>
      </c>
      <c r="G44" s="17">
        <f>IF(F44=2,D44/(2*D45),0)</f>
        <v>0</v>
      </c>
      <c r="H44" s="17"/>
      <c r="I44" s="61">
        <f>IF(F44=2,(1-2*(G44)^2+(G44)^3)*$P$6*D44/2,$P$6*D44/2)</f>
        <v>2.547</v>
      </c>
      <c r="J44" s="17"/>
      <c r="K44" s="17"/>
      <c r="L44" s="17"/>
      <c r="M44" s="64">
        <v>3.6</v>
      </c>
      <c r="N44" s="61">
        <f>IF(F44=2,(1-2*(G44)^2+(G44)^3)*M44*D44/2,M44*D44/2)</f>
        <v>2.7</v>
      </c>
      <c r="O44" s="17"/>
      <c r="P44" s="52"/>
    </row>
    <row r="45" spans="1:16" ht="16.5">
      <c r="A45" s="290"/>
      <c r="B45" s="289"/>
      <c r="C45" s="17" t="s">
        <v>100</v>
      </c>
      <c r="D45" s="63">
        <v>4.2</v>
      </c>
      <c r="E45" s="17"/>
      <c r="F45" s="17"/>
      <c r="G45" s="17"/>
      <c r="H45" s="17">
        <f>0.1*18*($J$9-D48)</f>
        <v>5.8500000000000005</v>
      </c>
      <c r="I45" s="61"/>
      <c r="J45" s="61">
        <f>I44+I46</f>
        <v>6.856362847222224</v>
      </c>
      <c r="K45" s="61">
        <f>D47*D48*$N$5*1.1</f>
        <v>2.40625</v>
      </c>
      <c r="L45" s="65">
        <f>J45+K45+H45</f>
        <v>15.112612847222223</v>
      </c>
      <c r="M45" s="64"/>
      <c r="N45" s="61"/>
      <c r="O45" s="65">
        <f>N44+N46</f>
        <v>5.745486111111111</v>
      </c>
      <c r="P45" s="52"/>
    </row>
    <row r="46" spans="1:16" ht="15.75" customHeight="1">
      <c r="A46" s="290"/>
      <c r="B46" s="289"/>
      <c r="C46" s="17" t="s">
        <v>101</v>
      </c>
      <c r="D46" s="63">
        <v>3.5</v>
      </c>
      <c r="E46" s="61">
        <f>IF(D46&gt;D45,D46/D45,D45/D46)</f>
        <v>1.2</v>
      </c>
      <c r="F46" s="17">
        <f>IF(E46&lt;2,2,1)</f>
        <v>2</v>
      </c>
      <c r="G46" s="17">
        <f>IF(F46=2,D46/(2*$D45),0)</f>
        <v>0.41666666666666663</v>
      </c>
      <c r="H46" s="17"/>
      <c r="I46" s="61">
        <f>IF(F46=2,(1-2*(G46)^2+(G46)^3)*$P$6*D46/2,$P$6*D46/2)</f>
        <v>4.309362847222223</v>
      </c>
      <c r="J46" s="17"/>
      <c r="K46" s="17"/>
      <c r="L46" s="17"/>
      <c r="M46" s="64">
        <v>2.4</v>
      </c>
      <c r="N46" s="61">
        <f>IF(F46=2,(1-2*(G46)^2+(G46)^3)*M46*D46/2,M46*D46/2)</f>
        <v>3.0454861111111113</v>
      </c>
      <c r="O46" s="17"/>
      <c r="P46" s="52"/>
    </row>
    <row r="47" spans="1:16" ht="15.75" customHeight="1" hidden="1">
      <c r="A47" s="290"/>
      <c r="B47" s="289"/>
      <c r="C47" s="17" t="s">
        <v>7</v>
      </c>
      <c r="D47" s="66">
        <v>0.25</v>
      </c>
      <c r="E47" s="17"/>
      <c r="F47" s="17"/>
      <c r="G47" s="17"/>
      <c r="H47" s="17"/>
      <c r="I47" s="61"/>
      <c r="J47" s="17"/>
      <c r="K47" s="17"/>
      <c r="L47" s="17"/>
      <c r="M47" s="64"/>
      <c r="N47" s="61"/>
      <c r="O47" s="17"/>
      <c r="P47" s="52"/>
    </row>
    <row r="48" spans="1:16" ht="16.5" hidden="1">
      <c r="A48" s="290"/>
      <c r="B48" s="289"/>
      <c r="C48" s="17" t="s">
        <v>8</v>
      </c>
      <c r="D48" s="66">
        <v>0.35</v>
      </c>
      <c r="E48" s="17"/>
      <c r="F48" s="17"/>
      <c r="G48" s="17"/>
      <c r="H48" s="17"/>
      <c r="I48" s="61"/>
      <c r="J48" s="17"/>
      <c r="K48" s="17"/>
      <c r="L48" s="17"/>
      <c r="M48" s="64"/>
      <c r="N48" s="61"/>
      <c r="O48" s="17"/>
      <c r="P48" s="52"/>
    </row>
    <row r="49" spans="1:16" ht="16.5" hidden="1">
      <c r="A49" s="290"/>
      <c r="B49" s="289" t="s">
        <v>107</v>
      </c>
      <c r="C49" s="17" t="s">
        <v>99</v>
      </c>
      <c r="D49" s="63"/>
      <c r="E49" s="61"/>
      <c r="F49" s="17"/>
      <c r="G49" s="17"/>
      <c r="H49" s="17"/>
      <c r="I49" s="61"/>
      <c r="J49" s="17"/>
      <c r="K49" s="17"/>
      <c r="L49" s="17"/>
      <c r="M49" s="64"/>
      <c r="N49" s="61"/>
      <c r="O49" s="17"/>
      <c r="P49" s="52"/>
    </row>
    <row r="50" spans="1:16" ht="2.25" customHeight="1" hidden="1">
      <c r="A50" s="290"/>
      <c r="B50" s="289"/>
      <c r="C50" s="17" t="s">
        <v>100</v>
      </c>
      <c r="D50" s="63"/>
      <c r="E50" s="17"/>
      <c r="F50" s="17"/>
      <c r="G50" s="17"/>
      <c r="H50" s="17"/>
      <c r="I50" s="61"/>
      <c r="J50" s="61"/>
      <c r="K50" s="61"/>
      <c r="L50" s="65"/>
      <c r="M50" s="64"/>
      <c r="N50" s="61"/>
      <c r="O50" s="65"/>
      <c r="P50" s="52"/>
    </row>
    <row r="51" spans="1:16" ht="16.5" hidden="1">
      <c r="A51" s="290"/>
      <c r="B51" s="289"/>
      <c r="C51" s="17" t="s">
        <v>101</v>
      </c>
      <c r="D51" s="66"/>
      <c r="E51" s="61"/>
      <c r="F51" s="17"/>
      <c r="G51" s="17"/>
      <c r="H51" s="17"/>
      <c r="I51" s="61"/>
      <c r="J51" s="17"/>
      <c r="K51" s="17"/>
      <c r="L51" s="17"/>
      <c r="M51" s="64"/>
      <c r="N51" s="61"/>
      <c r="O51" s="17"/>
      <c r="P51" s="52"/>
    </row>
    <row r="52" spans="1:16" ht="16.5" hidden="1">
      <c r="A52" s="290"/>
      <c r="B52" s="289"/>
      <c r="C52" s="17" t="s">
        <v>7</v>
      </c>
      <c r="D52" s="66">
        <v>0.25</v>
      </c>
      <c r="E52" s="17"/>
      <c r="F52" s="17"/>
      <c r="G52" s="17"/>
      <c r="H52" s="17"/>
      <c r="I52" s="61"/>
      <c r="J52" s="17"/>
      <c r="K52" s="17"/>
      <c r="L52" s="17"/>
      <c r="M52" s="64"/>
      <c r="N52" s="61"/>
      <c r="O52" s="17"/>
      <c r="P52" s="52"/>
    </row>
    <row r="53" spans="1:16" ht="16.5" hidden="1">
      <c r="A53" s="290"/>
      <c r="B53" s="289"/>
      <c r="C53" s="17" t="s">
        <v>8</v>
      </c>
      <c r="D53" s="66">
        <v>0.35</v>
      </c>
      <c r="E53" s="17"/>
      <c r="F53" s="17"/>
      <c r="G53" s="17"/>
      <c r="H53" s="17"/>
      <c r="I53" s="61"/>
      <c r="J53" s="17"/>
      <c r="K53" s="17"/>
      <c r="L53" s="17"/>
      <c r="M53" s="64"/>
      <c r="N53" s="61"/>
      <c r="O53" s="17"/>
      <c r="P53" s="52"/>
    </row>
    <row r="54" spans="1:16" ht="16.5">
      <c r="A54" s="290" t="s">
        <v>108</v>
      </c>
      <c r="B54" s="289" t="s">
        <v>98</v>
      </c>
      <c r="C54" s="17" t="s">
        <v>99</v>
      </c>
      <c r="D54" s="63">
        <v>2</v>
      </c>
      <c r="E54" s="61">
        <f>IF(D54&gt;D55,D54/D55,D55/D54)</f>
        <v>2.1</v>
      </c>
      <c r="F54" s="17">
        <f>IF(E54&lt;2,2,1)</f>
        <v>1</v>
      </c>
      <c r="G54" s="17">
        <f>IF(F54=2,D54/(2*$D$14),0)</f>
        <v>0</v>
      </c>
      <c r="H54" s="17"/>
      <c r="I54" s="61">
        <f>IF(F54=2,(1-2*(G54)^2+(G54)^3)*$P$6*D54/2,$P$6*D54/2)</f>
        <v>3.3960000000000004</v>
      </c>
      <c r="J54" s="17"/>
      <c r="K54" s="17"/>
      <c r="L54" s="17"/>
      <c r="M54" s="64">
        <v>3.6</v>
      </c>
      <c r="N54" s="61">
        <f>IF(F54=2,(1-2*(G54)^2+(G54)^3)*M54*D54/2,M54*D54/2)</f>
        <v>3.6</v>
      </c>
      <c r="O54" s="17"/>
      <c r="P54" s="52"/>
    </row>
    <row r="55" spans="1:16" ht="16.5">
      <c r="A55" s="290"/>
      <c r="B55" s="289"/>
      <c r="C55" s="17" t="s">
        <v>100</v>
      </c>
      <c r="D55" s="63">
        <v>4.2</v>
      </c>
      <c r="E55" s="17"/>
      <c r="F55" s="17"/>
      <c r="G55" s="17"/>
      <c r="H55" s="17">
        <f>0.1*18*($J$9-D58)</f>
        <v>5.8500000000000005</v>
      </c>
      <c r="I55" s="61"/>
      <c r="J55" s="61">
        <f>I54+I56</f>
        <v>7.705362847222224</v>
      </c>
      <c r="K55" s="61">
        <f>D57*D58*$N$5*1.1</f>
        <v>2.40625</v>
      </c>
      <c r="L55" s="65">
        <f>J55+K55+H55</f>
        <v>15.961612847222224</v>
      </c>
      <c r="M55" s="64"/>
      <c r="N55" s="61"/>
      <c r="O55" s="65">
        <f>N54+N56</f>
        <v>6.645486111111111</v>
      </c>
      <c r="P55" s="52"/>
    </row>
    <row r="56" spans="1:16" ht="16.5" customHeight="1">
      <c r="A56" s="290"/>
      <c r="B56" s="289"/>
      <c r="C56" s="17" t="s">
        <v>101</v>
      </c>
      <c r="D56" s="63">
        <v>3.5</v>
      </c>
      <c r="E56" s="61">
        <f>IF(D56&gt;D55,D56/D55,D55/D56)</f>
        <v>1.2</v>
      </c>
      <c r="F56" s="17">
        <f>IF(E56&lt;2,2,1)</f>
        <v>2</v>
      </c>
      <c r="G56" s="17">
        <f>IF(F56=2,D56/(2*$D$14),0)</f>
        <v>0.41666666666666663</v>
      </c>
      <c r="H56" s="17"/>
      <c r="I56" s="61">
        <f>IF(F56=2,(1-2*(G56)^2+(G56)^3)*$P$6*D56/2,$P$6*D56/2)</f>
        <v>4.309362847222223</v>
      </c>
      <c r="J56" s="17"/>
      <c r="K56" s="17"/>
      <c r="L56" s="17"/>
      <c r="M56" s="64">
        <v>2.4</v>
      </c>
      <c r="N56" s="61">
        <f>IF(F56=2,(1-2*(G56)^2+(G56)^3)*M56*D56/2,M56*D56/2)</f>
        <v>3.0454861111111113</v>
      </c>
      <c r="O56" s="17"/>
      <c r="P56" s="52"/>
    </row>
    <row r="57" spans="1:16" ht="0.75" customHeight="1" hidden="1">
      <c r="A57" s="290"/>
      <c r="B57" s="289"/>
      <c r="C57" s="17" t="s">
        <v>7</v>
      </c>
      <c r="D57" s="66">
        <v>0.25</v>
      </c>
      <c r="E57" s="17"/>
      <c r="F57" s="17"/>
      <c r="G57" s="17"/>
      <c r="H57" s="17"/>
      <c r="I57" s="61"/>
      <c r="J57" s="17"/>
      <c r="K57" s="17"/>
      <c r="L57" s="17"/>
      <c r="M57" s="64"/>
      <c r="N57" s="61"/>
      <c r="O57" s="17"/>
      <c r="P57" s="52"/>
    </row>
    <row r="58" spans="1:16" ht="16.5" hidden="1">
      <c r="A58" s="290"/>
      <c r="B58" s="289"/>
      <c r="C58" s="17" t="s">
        <v>8</v>
      </c>
      <c r="D58" s="66">
        <v>0.35</v>
      </c>
      <c r="E58" s="17"/>
      <c r="F58" s="17"/>
      <c r="G58" s="17"/>
      <c r="H58" s="17"/>
      <c r="I58" s="61"/>
      <c r="J58" s="17"/>
      <c r="K58" s="17"/>
      <c r="L58" s="17"/>
      <c r="M58" s="64"/>
      <c r="N58" s="61"/>
      <c r="O58" s="17"/>
      <c r="P58" s="52"/>
    </row>
    <row r="59" spans="1:16" ht="16.5">
      <c r="A59" s="290"/>
      <c r="B59" s="289" t="s">
        <v>102</v>
      </c>
      <c r="C59" s="17" t="s">
        <v>99</v>
      </c>
      <c r="D59" s="63">
        <v>2</v>
      </c>
      <c r="E59" s="61">
        <f>IF(D59&gt;D60,D59/D60,D60/D59)</f>
        <v>2.1</v>
      </c>
      <c r="F59" s="17">
        <f>IF(E59&lt;2,2,1)</f>
        <v>1</v>
      </c>
      <c r="G59" s="17">
        <f>IF(F59=2,D59/(2*D60),0)</f>
        <v>0</v>
      </c>
      <c r="H59" s="17"/>
      <c r="I59" s="61">
        <f>IF(F59=2,(1-2*(G59)^2+(G59)^3)*$P$6*D59/2,$P$6*D59/2)</f>
        <v>3.3960000000000004</v>
      </c>
      <c r="J59" s="17"/>
      <c r="K59" s="17"/>
      <c r="L59" s="17"/>
      <c r="M59" s="64">
        <v>3.6</v>
      </c>
      <c r="N59" s="61">
        <f>IF(F59=2,(1-2*(G59)^2+(G59)^3)*M59*D59/2,M59*D59/2)</f>
        <v>3.6</v>
      </c>
      <c r="O59" s="17"/>
      <c r="P59" s="52"/>
    </row>
    <row r="60" spans="1:16" ht="16.5">
      <c r="A60" s="290"/>
      <c r="B60" s="289"/>
      <c r="C60" s="17" t="s">
        <v>100</v>
      </c>
      <c r="D60" s="63">
        <v>4.2</v>
      </c>
      <c r="E60" s="17"/>
      <c r="F60" s="17"/>
      <c r="G60" s="17"/>
      <c r="H60" s="17">
        <f>0.1*18*($J$9-D63)</f>
        <v>5.8500000000000005</v>
      </c>
      <c r="I60" s="61"/>
      <c r="J60" s="61">
        <f>I59+I61</f>
        <v>7.705362847222224</v>
      </c>
      <c r="K60" s="61">
        <f>D62*D63*$N$5*1.1</f>
        <v>2.40625</v>
      </c>
      <c r="L60" s="65">
        <f>J60+K60+H60</f>
        <v>15.961612847222224</v>
      </c>
      <c r="M60" s="64"/>
      <c r="N60" s="61"/>
      <c r="O60" s="65">
        <f>N59+N61</f>
        <v>6.645486111111111</v>
      </c>
      <c r="P60" s="52"/>
    </row>
    <row r="61" spans="1:16" ht="15.75" customHeight="1">
      <c r="A61" s="290"/>
      <c r="B61" s="289"/>
      <c r="C61" s="17" t="s">
        <v>101</v>
      </c>
      <c r="D61" s="63">
        <v>3.5</v>
      </c>
      <c r="E61" s="61">
        <f>IF(D61&gt;D60,D61/D60,D60/D61)</f>
        <v>1.2</v>
      </c>
      <c r="F61" s="17">
        <f>IF(E61&lt;2,2,1)</f>
        <v>2</v>
      </c>
      <c r="G61" s="17">
        <f>IF(F61=2,D61/(2*$D60),0)</f>
        <v>0.41666666666666663</v>
      </c>
      <c r="H61" s="17"/>
      <c r="I61" s="61">
        <f>IF(F61=2,(1-2*(G61)^2+(G61)^3)*$P$6*D61/2,5*$P$6*D61/16)</f>
        <v>4.309362847222223</v>
      </c>
      <c r="J61" s="17"/>
      <c r="K61" s="17"/>
      <c r="L61" s="17"/>
      <c r="M61" s="64">
        <v>2.4</v>
      </c>
      <c r="N61" s="61">
        <f>IF(F61=2,(1-2*(G61)^2+(G61)^3)*M61*D61/2,M61*D61/2)</f>
        <v>3.0454861111111113</v>
      </c>
      <c r="O61" s="17"/>
      <c r="P61" s="52"/>
    </row>
    <row r="62" spans="1:16" ht="16.5" hidden="1">
      <c r="A62" s="290"/>
      <c r="B62" s="289"/>
      <c r="C62" s="17" t="s">
        <v>7</v>
      </c>
      <c r="D62" s="66">
        <v>0.25</v>
      </c>
      <c r="E62" s="17"/>
      <c r="F62" s="17"/>
      <c r="G62" s="17"/>
      <c r="H62" s="17"/>
      <c r="I62" s="61"/>
      <c r="J62" s="17"/>
      <c r="K62" s="17"/>
      <c r="L62" s="17"/>
      <c r="M62" s="64"/>
      <c r="N62" s="61"/>
      <c r="O62" s="17"/>
      <c r="P62" s="52"/>
    </row>
    <row r="63" spans="1:16" ht="16.5" hidden="1">
      <c r="A63" s="290"/>
      <c r="B63" s="289"/>
      <c r="C63" s="17" t="s">
        <v>8</v>
      </c>
      <c r="D63" s="66">
        <v>0.35</v>
      </c>
      <c r="E63" s="17"/>
      <c r="F63" s="17"/>
      <c r="G63" s="17"/>
      <c r="H63" s="17"/>
      <c r="I63" s="61"/>
      <c r="J63" s="17"/>
      <c r="K63" s="17"/>
      <c r="L63" s="17"/>
      <c r="M63" s="64"/>
      <c r="N63" s="61"/>
      <c r="O63" s="17"/>
      <c r="P63" s="52"/>
    </row>
    <row r="64" spans="1:16" ht="16.5">
      <c r="A64" s="290"/>
      <c r="B64" s="288" t="s">
        <v>128</v>
      </c>
      <c r="C64" s="17" t="s">
        <v>99</v>
      </c>
      <c r="D64" s="63">
        <v>2</v>
      </c>
      <c r="E64" s="61">
        <f>IF(D64&gt;D65,D64/D65,D65/D64)</f>
        <v>2.1</v>
      </c>
      <c r="F64" s="17">
        <f>IF(E64&lt;2,2,1)</f>
        <v>1</v>
      </c>
      <c r="G64" s="17">
        <f>IF(F64=2,D64/(2*D65),0)</f>
        <v>0</v>
      </c>
      <c r="H64" s="17"/>
      <c r="I64" s="61">
        <f>IF(F64=2,(1-2*(G64)^2+(G64)^3)*$P$6*D64/2,$P$6*D64/2)</f>
        <v>3.3960000000000004</v>
      </c>
      <c r="J64" s="17"/>
      <c r="K64" s="17"/>
      <c r="L64" s="17"/>
      <c r="M64" s="64">
        <v>3.6</v>
      </c>
      <c r="N64" s="61">
        <f>IF(F64=2,(1-2*(G64)^2+(G64)^3)*M64*D64/2,M64*D64/2)</f>
        <v>3.6</v>
      </c>
      <c r="O64" s="17"/>
      <c r="P64" s="52"/>
    </row>
    <row r="65" spans="1:16" ht="16.5">
      <c r="A65" s="290"/>
      <c r="B65" s="289"/>
      <c r="C65" s="17" t="s">
        <v>100</v>
      </c>
      <c r="D65" s="63">
        <v>4.2</v>
      </c>
      <c r="E65" s="17"/>
      <c r="F65" s="17"/>
      <c r="G65" s="17"/>
      <c r="H65" s="17">
        <f>0.1*18*($J$9-D68)</f>
        <v>5.8500000000000005</v>
      </c>
      <c r="I65" s="61"/>
      <c r="J65" s="61">
        <f>I64+I66</f>
        <v>7.705362847222224</v>
      </c>
      <c r="K65" s="61">
        <f>D67*D68*$N$5*1.1</f>
        <v>2.40625</v>
      </c>
      <c r="L65" s="65">
        <f>J65+K65+H65</f>
        <v>15.961612847222224</v>
      </c>
      <c r="M65" s="64"/>
      <c r="N65" s="61"/>
      <c r="O65" s="65">
        <f>N64+N66</f>
        <v>10.198553240740742</v>
      </c>
      <c r="P65" s="52"/>
    </row>
    <row r="66" spans="1:16" ht="15.75" customHeight="1">
      <c r="A66" s="290"/>
      <c r="B66" s="289"/>
      <c r="C66" s="17" t="s">
        <v>101</v>
      </c>
      <c r="D66" s="63">
        <v>3.5</v>
      </c>
      <c r="E66" s="61">
        <f>IF(D66&gt;D65,D66/D65,D65/D66)</f>
        <v>1.2</v>
      </c>
      <c r="F66" s="17">
        <f>IF(E66&lt;2,2,1)</f>
        <v>2</v>
      </c>
      <c r="G66" s="17">
        <f>IF(F66=2,D66/(2*$D65),0)</f>
        <v>0.41666666666666663</v>
      </c>
      <c r="H66" s="17"/>
      <c r="I66" s="61">
        <f>IF(F66=2,(1-2*(G66)^2+(G66)^3)*$P$6*D66/2,5*$P$6*D66/16)</f>
        <v>4.309362847222223</v>
      </c>
      <c r="J66" s="17"/>
      <c r="K66" s="17"/>
      <c r="L66" s="17"/>
      <c r="M66" s="64">
        <v>5.2</v>
      </c>
      <c r="N66" s="61">
        <f>IF(F66=2,(1-2*(G66)^2+(G66)^3)*M66*D66/2,M66*D66/2)</f>
        <v>6.598553240740742</v>
      </c>
      <c r="O66" s="17"/>
      <c r="P66" s="52"/>
    </row>
    <row r="67" spans="1:16" ht="16.5" hidden="1">
      <c r="A67" s="290"/>
      <c r="B67" s="289"/>
      <c r="C67" s="17" t="s">
        <v>7</v>
      </c>
      <c r="D67" s="66">
        <v>0.25</v>
      </c>
      <c r="E67" s="17"/>
      <c r="F67" s="17"/>
      <c r="G67" s="17"/>
      <c r="H67" s="17"/>
      <c r="I67" s="61"/>
      <c r="J67" s="17"/>
      <c r="K67" s="17"/>
      <c r="L67" s="17"/>
      <c r="M67" s="17"/>
      <c r="N67" s="61"/>
      <c r="O67" s="17"/>
      <c r="P67" s="52"/>
    </row>
    <row r="68" spans="1:16" ht="16.5" hidden="1">
      <c r="A68" s="290"/>
      <c r="B68" s="289"/>
      <c r="C68" s="17" t="s">
        <v>8</v>
      </c>
      <c r="D68" s="66">
        <v>0.35</v>
      </c>
      <c r="E68" s="17"/>
      <c r="F68" s="17"/>
      <c r="G68" s="17"/>
      <c r="H68" s="17"/>
      <c r="I68" s="61"/>
      <c r="J68" s="17"/>
      <c r="K68" s="17"/>
      <c r="L68" s="17"/>
      <c r="M68" s="17"/>
      <c r="N68" s="61">
        <f>IF(K68=2,(1-2*(L68)^2+(L68)^3)*$P$6*I68/2,$P$6*I68/2)</f>
        <v>0</v>
      </c>
      <c r="O68" s="17"/>
      <c r="P68" s="52"/>
    </row>
    <row r="69" spans="1:16" ht="16.5">
      <c r="A69" s="290"/>
      <c r="B69" s="289" t="s">
        <v>103</v>
      </c>
      <c r="C69" s="17" t="s">
        <v>99</v>
      </c>
      <c r="D69" s="63">
        <v>3.2</v>
      </c>
      <c r="E69" s="61">
        <f>IF(D69&gt;D70,D69/D70,D70/D69)</f>
        <v>1.3125</v>
      </c>
      <c r="F69" s="17">
        <f>IF(E69&lt;2,2,1)</f>
        <v>2</v>
      </c>
      <c r="G69" s="17">
        <f>IF(F69=2,D69/(2*D70),0)</f>
        <v>0.38095238095238093</v>
      </c>
      <c r="H69" s="17"/>
      <c r="I69" s="61">
        <f>IF(F69=2,(1-2*(G69)^2+(G69)^3)*$P$6*D69/2,5*$P$6*D69/16)</f>
        <v>4.156900550696469</v>
      </c>
      <c r="J69" s="17"/>
      <c r="K69" s="17"/>
      <c r="L69" s="17"/>
      <c r="M69" s="64">
        <v>3.6</v>
      </c>
      <c r="N69" s="61">
        <f>IF(F69=2,(1-2*(G69)^2+(G69)^3)*M69*D69/2,M69*D69/2)</f>
        <v>4.406608357628766</v>
      </c>
      <c r="O69" s="17"/>
      <c r="P69" s="52"/>
    </row>
    <row r="70" spans="1:16" ht="16.5">
      <c r="A70" s="290"/>
      <c r="B70" s="289"/>
      <c r="C70" s="17" t="s">
        <v>100</v>
      </c>
      <c r="D70" s="63">
        <v>4.2</v>
      </c>
      <c r="E70" s="17"/>
      <c r="F70" s="17"/>
      <c r="G70" s="17"/>
      <c r="H70" s="17">
        <f>0.1*18*($J$9-D73)</f>
        <v>5.8500000000000005</v>
      </c>
      <c r="I70" s="61"/>
      <c r="J70" s="61">
        <f>I69+I71</f>
        <v>8.466263397918691</v>
      </c>
      <c r="K70" s="61">
        <f>D72*D73*$N$5*1.1</f>
        <v>2.40625</v>
      </c>
      <c r="L70" s="65">
        <f>J70+K70+H70</f>
        <v>16.722513397918693</v>
      </c>
      <c r="M70" s="64"/>
      <c r="N70" s="61"/>
      <c r="O70" s="65">
        <f>N69+N71</f>
        <v>7.452094468739878</v>
      </c>
      <c r="P70" s="52"/>
    </row>
    <row r="71" spans="1:16" ht="14.25" customHeight="1">
      <c r="A71" s="290"/>
      <c r="B71" s="289"/>
      <c r="C71" s="17" t="s">
        <v>101</v>
      </c>
      <c r="D71" s="63">
        <v>3.5</v>
      </c>
      <c r="E71" s="61">
        <f>IF(D71&gt;D70,D71/D70,D70/D71)</f>
        <v>1.2</v>
      </c>
      <c r="F71" s="17">
        <f>IF(E71&lt;2,2,1)</f>
        <v>2</v>
      </c>
      <c r="G71" s="17">
        <f>IF(F71=2,D71/(2*$D70),0)</f>
        <v>0.41666666666666663</v>
      </c>
      <c r="H71" s="17"/>
      <c r="I71" s="61">
        <f>IF(F71=2,(1-2*(G71)^2+(G71)^3)*$P$6*D71/2,5*$P$6*D71/16)</f>
        <v>4.309362847222223</v>
      </c>
      <c r="J71" s="17"/>
      <c r="K71" s="17"/>
      <c r="L71" s="17"/>
      <c r="M71" s="64">
        <v>2.4</v>
      </c>
      <c r="N71" s="61">
        <f>IF(F71=2,(1-2*(G71)^2+(G71)^3)*M71*D71/2,M71*D71/2)</f>
        <v>3.0454861111111113</v>
      </c>
      <c r="O71" s="17"/>
      <c r="P71" s="52"/>
    </row>
    <row r="72" spans="1:16" ht="16.5" hidden="1">
      <c r="A72" s="290"/>
      <c r="B72" s="289"/>
      <c r="C72" s="17" t="s">
        <v>7</v>
      </c>
      <c r="D72" s="66">
        <v>0.25</v>
      </c>
      <c r="E72" s="17"/>
      <c r="F72" s="17"/>
      <c r="G72" s="17"/>
      <c r="H72" s="17"/>
      <c r="I72" s="61"/>
      <c r="J72" s="17"/>
      <c r="K72" s="17"/>
      <c r="L72" s="17"/>
      <c r="M72" s="64"/>
      <c r="N72" s="61"/>
      <c r="O72" s="17"/>
      <c r="P72" s="52"/>
    </row>
    <row r="73" spans="1:16" ht="16.5" hidden="1">
      <c r="A73" s="290"/>
      <c r="B73" s="289"/>
      <c r="C73" s="17" t="s">
        <v>8</v>
      </c>
      <c r="D73" s="66">
        <v>0.35</v>
      </c>
      <c r="E73" s="17"/>
      <c r="F73" s="17"/>
      <c r="G73" s="17"/>
      <c r="H73" s="17"/>
      <c r="I73" s="61"/>
      <c r="J73" s="17"/>
      <c r="K73" s="17"/>
      <c r="L73" s="17"/>
      <c r="M73" s="64"/>
      <c r="N73" s="61"/>
      <c r="O73" s="17"/>
      <c r="P73" s="52"/>
    </row>
    <row r="74" spans="1:16" ht="16.5">
      <c r="A74" s="290"/>
      <c r="B74" s="289" t="s">
        <v>104</v>
      </c>
      <c r="C74" s="17" t="s">
        <v>99</v>
      </c>
      <c r="D74" s="63">
        <v>3.2</v>
      </c>
      <c r="E74" s="61">
        <f>IF(D74&gt;D75,D74/D75,D75/D74)</f>
        <v>1.875</v>
      </c>
      <c r="F74" s="17">
        <f>IF(E74&lt;2,2,1)</f>
        <v>2</v>
      </c>
      <c r="G74" s="17">
        <f>IF(F74=2,D74/(2*D75),0)</f>
        <v>0.26666666666666666</v>
      </c>
      <c r="H74" s="17"/>
      <c r="I74" s="61">
        <f>IF(F74=2,(1-2*(G74)^2+(G74)^3)*$P$6*D74/2,5*$P$6*D74/16)</f>
        <v>4.763858488888889</v>
      </c>
      <c r="J74" s="17"/>
      <c r="K74" s="17"/>
      <c r="L74" s="17"/>
      <c r="M74" s="64">
        <v>3.6</v>
      </c>
      <c r="N74" s="61">
        <f>IF(F74=2,(1-2*(G74)^2+(G74)^3)*M74*D74/2,M74*D74/2)</f>
        <v>5.0500266666666676</v>
      </c>
      <c r="O74" s="17"/>
      <c r="P74" s="52"/>
    </row>
    <row r="75" spans="1:16" ht="16.5">
      <c r="A75" s="290"/>
      <c r="B75" s="289"/>
      <c r="C75" s="17" t="s">
        <v>100</v>
      </c>
      <c r="D75" s="63">
        <v>6</v>
      </c>
      <c r="E75" s="17"/>
      <c r="F75" s="17"/>
      <c r="G75" s="17"/>
      <c r="H75" s="17">
        <v>0</v>
      </c>
      <c r="I75" s="61"/>
      <c r="J75" s="61">
        <f>I74</f>
        <v>4.763858488888889</v>
      </c>
      <c r="K75" s="61">
        <f>D77*D78*$N$5*1.1</f>
        <v>2.40625</v>
      </c>
      <c r="L75" s="65">
        <f>J75+K75+H75</f>
        <v>7.170108488888889</v>
      </c>
      <c r="M75" s="64"/>
      <c r="N75" s="61"/>
      <c r="O75" s="65">
        <f>N74+N76</f>
        <v>5.0500266666666676</v>
      </c>
      <c r="P75" s="52"/>
    </row>
    <row r="76" spans="1:16" ht="16.5">
      <c r="A76" s="290"/>
      <c r="B76" s="289"/>
      <c r="C76" s="17" t="s">
        <v>101</v>
      </c>
      <c r="D76" s="66"/>
      <c r="E76" s="61"/>
      <c r="F76" s="17"/>
      <c r="G76" s="17"/>
      <c r="H76" s="17"/>
      <c r="I76" s="61"/>
      <c r="J76" s="17"/>
      <c r="K76" s="17"/>
      <c r="L76" s="17"/>
      <c r="M76" s="64"/>
      <c r="N76" s="61">
        <f>IF(F76=2,(1-2*(G76)^2+(G76)^3)*M76*D76/2,M76*D76/2)</f>
        <v>0</v>
      </c>
      <c r="O76" s="17"/>
      <c r="P76" s="52"/>
    </row>
    <row r="77" spans="1:16" ht="16.5" hidden="1">
      <c r="A77" s="290"/>
      <c r="B77" s="289"/>
      <c r="C77" s="17" t="s">
        <v>7</v>
      </c>
      <c r="D77" s="66">
        <v>0.25</v>
      </c>
      <c r="E77" s="17"/>
      <c r="F77" s="17"/>
      <c r="G77" s="17"/>
      <c r="H77" s="17"/>
      <c r="I77" s="61"/>
      <c r="J77" s="17"/>
      <c r="K77" s="17"/>
      <c r="L77" s="17"/>
      <c r="M77" s="64"/>
      <c r="N77" s="61"/>
      <c r="O77" s="17"/>
      <c r="P77" s="52"/>
    </row>
    <row r="78" spans="1:16" ht="16.5" hidden="1">
      <c r="A78" s="290"/>
      <c r="B78" s="289"/>
      <c r="C78" s="17" t="s">
        <v>8</v>
      </c>
      <c r="D78" s="66">
        <v>0.35</v>
      </c>
      <c r="E78" s="17"/>
      <c r="F78" s="17"/>
      <c r="G78" s="17"/>
      <c r="H78" s="17"/>
      <c r="I78" s="61"/>
      <c r="J78" s="17"/>
      <c r="K78" s="17"/>
      <c r="L78" s="17"/>
      <c r="M78" s="64"/>
      <c r="N78" s="61"/>
      <c r="O78" s="17"/>
      <c r="P78" s="52"/>
    </row>
    <row r="79" spans="1:16" ht="16.5">
      <c r="A79" s="290"/>
      <c r="B79" s="289" t="s">
        <v>105</v>
      </c>
      <c r="C79" s="17" t="s">
        <v>99</v>
      </c>
      <c r="D79" s="63">
        <v>3.2</v>
      </c>
      <c r="E79" s="61">
        <f>IF(D79&gt;D80,D79/D80,D80/D79)</f>
        <v>1.3125</v>
      </c>
      <c r="F79" s="17">
        <f>IF(E79&lt;2,2,1)</f>
        <v>2</v>
      </c>
      <c r="G79" s="17">
        <f>IF(F79=2,D79/(2*D80),0)</f>
        <v>0.38095238095238093</v>
      </c>
      <c r="H79" s="17"/>
      <c r="I79" s="61">
        <f>IF(F79=2,(1-2*(G79)^2+(G79)^3)*$P$6*D79/2,5*$P$6*D79/16)</f>
        <v>4.156900550696469</v>
      </c>
      <c r="J79" s="17"/>
      <c r="K79" s="17"/>
      <c r="L79" s="17"/>
      <c r="M79" s="64">
        <v>3.6</v>
      </c>
      <c r="N79" s="61">
        <f>IF(F79=2,(1-2*(G79)^2+(G79)^3)*M79*D79/2,M79*D79/2)</f>
        <v>4.406608357628766</v>
      </c>
      <c r="O79" s="17"/>
      <c r="P79" s="52"/>
    </row>
    <row r="80" spans="1:16" ht="16.5">
      <c r="A80" s="290"/>
      <c r="B80" s="289"/>
      <c r="C80" s="17" t="s">
        <v>100</v>
      </c>
      <c r="D80" s="63">
        <v>4.2</v>
      </c>
      <c r="E80" s="17"/>
      <c r="F80" s="17"/>
      <c r="G80" s="17"/>
      <c r="H80" s="17">
        <f>0.1*18*($J$9-D83)</f>
        <v>5.8500000000000005</v>
      </c>
      <c r="I80" s="61"/>
      <c r="J80" s="61">
        <f>I79+I81</f>
        <v>8.466263397918691</v>
      </c>
      <c r="K80" s="61">
        <f>D82*D83*$N$5*1.1</f>
        <v>2.40625</v>
      </c>
      <c r="L80" s="65">
        <f>J80+K80+H80</f>
        <v>16.722513397918693</v>
      </c>
      <c r="M80" s="64"/>
      <c r="N80" s="61"/>
      <c r="O80" s="65">
        <f>N79+N81</f>
        <v>11.005161598369508</v>
      </c>
      <c r="P80" s="52"/>
    </row>
    <row r="81" spans="1:16" ht="15" customHeight="1">
      <c r="A81" s="290"/>
      <c r="B81" s="289"/>
      <c r="C81" s="17" t="s">
        <v>101</v>
      </c>
      <c r="D81" s="63">
        <v>3.5</v>
      </c>
      <c r="E81" s="61">
        <f>IF(D81&gt;D80,D81/D80,D80/D81)</f>
        <v>1.2</v>
      </c>
      <c r="F81" s="17">
        <f>IF(E81&lt;2,2,1)</f>
        <v>2</v>
      </c>
      <c r="G81" s="17">
        <f>IF(F81=2,D81/(2*$D80),0)</f>
        <v>0.41666666666666663</v>
      </c>
      <c r="H81" s="17"/>
      <c r="I81" s="61">
        <f>IF(F81=2,(1-2*(G81)^2+(G81)^3)*$P$6*D81/2,5*$P$6*D81/16)</f>
        <v>4.309362847222223</v>
      </c>
      <c r="J81" s="17"/>
      <c r="K81" s="17"/>
      <c r="L81" s="17"/>
      <c r="M81" s="64">
        <v>5.2</v>
      </c>
      <c r="N81" s="61">
        <f>IF(F81=2,(1-2*(G81)^2+(G81)^3)*M81*D81/2,M81*D81/2)</f>
        <v>6.598553240740742</v>
      </c>
      <c r="O81" s="17"/>
      <c r="P81" s="52"/>
    </row>
    <row r="82" spans="1:16" ht="16.5" hidden="1">
      <c r="A82" s="290"/>
      <c r="B82" s="289"/>
      <c r="C82" s="17" t="s">
        <v>7</v>
      </c>
      <c r="D82" s="66">
        <v>0.25</v>
      </c>
      <c r="E82" s="17"/>
      <c r="F82" s="17"/>
      <c r="G82" s="17"/>
      <c r="H82" s="17"/>
      <c r="I82" s="61"/>
      <c r="J82" s="17"/>
      <c r="K82" s="17"/>
      <c r="L82" s="17"/>
      <c r="M82" s="17"/>
      <c r="N82" s="61"/>
      <c r="O82" s="17"/>
      <c r="P82" s="52"/>
    </row>
    <row r="83" spans="1:16" ht="16.5" hidden="1">
      <c r="A83" s="290"/>
      <c r="B83" s="289"/>
      <c r="C83" s="17" t="s">
        <v>8</v>
      </c>
      <c r="D83" s="66">
        <v>0.35</v>
      </c>
      <c r="E83" s="17"/>
      <c r="F83" s="17"/>
      <c r="G83" s="17"/>
      <c r="H83" s="17"/>
      <c r="I83" s="61"/>
      <c r="J83" s="17"/>
      <c r="K83" s="17"/>
      <c r="L83" s="17"/>
      <c r="M83" s="17"/>
      <c r="N83" s="61"/>
      <c r="O83" s="17"/>
      <c r="P83" s="52"/>
    </row>
    <row r="84" spans="1:16" ht="16.5">
      <c r="A84" s="290"/>
      <c r="B84" s="289" t="s">
        <v>106</v>
      </c>
      <c r="C84" s="17" t="s">
        <v>99</v>
      </c>
      <c r="D84" s="63">
        <v>2</v>
      </c>
      <c r="E84" s="61">
        <f>IF(D84&gt;D85,D84/D85,D85/D84)</f>
        <v>2.1</v>
      </c>
      <c r="F84" s="17">
        <f>IF(E84&lt;2,2,1)</f>
        <v>1</v>
      </c>
      <c r="G84" s="17">
        <f>IF(F84=2,D84/(2*D85),0)</f>
        <v>0</v>
      </c>
      <c r="H84" s="17"/>
      <c r="I84" s="61">
        <f>IF(F84=2,(1-2*(G84)^2+(G84)^3)*$P$6*D84/2,$P$6*D84/2)</f>
        <v>3.3960000000000004</v>
      </c>
      <c r="J84" s="17"/>
      <c r="K84" s="17"/>
      <c r="L84" s="17"/>
      <c r="M84" s="64">
        <v>3.6</v>
      </c>
      <c r="N84" s="61">
        <f>IF(F84=2,(1-2*(G84)^2+(G84)^3)*M84*D84/2,M84*D84/2)</f>
        <v>3.6</v>
      </c>
      <c r="O84" s="17"/>
      <c r="P84" s="52"/>
    </row>
    <row r="85" spans="1:16" ht="16.5">
      <c r="A85" s="290"/>
      <c r="B85" s="289"/>
      <c r="C85" s="17" t="s">
        <v>100</v>
      </c>
      <c r="D85" s="63">
        <v>4.2</v>
      </c>
      <c r="E85" s="17"/>
      <c r="F85" s="17"/>
      <c r="G85" s="17"/>
      <c r="H85" s="17">
        <f>0.1*18*($J$9-D88)</f>
        <v>5.8500000000000005</v>
      </c>
      <c r="I85" s="61"/>
      <c r="J85" s="61">
        <f>I84+I86</f>
        <v>7.705362847222224</v>
      </c>
      <c r="K85" s="61">
        <f>D87*D88*$N$5*1.1</f>
        <v>2.40625</v>
      </c>
      <c r="L85" s="65">
        <f>J85+K85+H85</f>
        <v>15.961612847222224</v>
      </c>
      <c r="M85" s="64"/>
      <c r="N85" s="61"/>
      <c r="O85" s="65">
        <f>N84+N86</f>
        <v>6.645486111111111</v>
      </c>
      <c r="P85" s="52"/>
    </row>
    <row r="86" spans="1:16" ht="16.5">
      <c r="A86" s="290"/>
      <c r="B86" s="289"/>
      <c r="C86" s="17" t="s">
        <v>101</v>
      </c>
      <c r="D86" s="63">
        <v>3.5</v>
      </c>
      <c r="E86" s="61">
        <f>IF(D86&gt;D85,D86/D85,D85/D86)</f>
        <v>1.2</v>
      </c>
      <c r="F86" s="17">
        <f>IF(E86&lt;2,2,1)</f>
        <v>2</v>
      </c>
      <c r="G86" s="17">
        <f>IF(F86=2,D86/(2*$D85),0)</f>
        <v>0.41666666666666663</v>
      </c>
      <c r="H86" s="17"/>
      <c r="I86" s="61">
        <f>IF(F86=2,(1-2*(G86)^2+(G86)^3)*$P$6*D86/2,5*$P$6*D86/16)</f>
        <v>4.309362847222223</v>
      </c>
      <c r="J86" s="17"/>
      <c r="K86" s="17"/>
      <c r="L86" s="17"/>
      <c r="M86" s="64">
        <v>2.4</v>
      </c>
      <c r="N86" s="61">
        <f>IF(F86=2,(1-2*(G86)^2+(G86)^3)*M86*D86/2,M86*D86/2)</f>
        <v>3.0454861111111113</v>
      </c>
      <c r="O86" s="17"/>
      <c r="P86" s="52"/>
    </row>
    <row r="87" spans="1:16" ht="16.5" hidden="1">
      <c r="A87" s="290"/>
      <c r="B87" s="289"/>
      <c r="C87" s="17" t="s">
        <v>7</v>
      </c>
      <c r="D87" s="66">
        <v>0.25</v>
      </c>
      <c r="E87" s="17"/>
      <c r="F87" s="17"/>
      <c r="G87" s="17"/>
      <c r="H87" s="17"/>
      <c r="I87" s="61"/>
      <c r="J87" s="17"/>
      <c r="K87" s="17"/>
      <c r="L87" s="17"/>
      <c r="M87" s="64"/>
      <c r="N87" s="61"/>
      <c r="O87" s="17"/>
      <c r="P87" s="52"/>
    </row>
    <row r="88" spans="1:16" ht="16.5" hidden="1">
      <c r="A88" s="290"/>
      <c r="B88" s="289"/>
      <c r="C88" s="17" t="s">
        <v>8</v>
      </c>
      <c r="D88" s="66">
        <v>0.35</v>
      </c>
      <c r="E88" s="17"/>
      <c r="F88" s="17"/>
      <c r="G88" s="17"/>
      <c r="H88" s="17"/>
      <c r="I88" s="61"/>
      <c r="J88" s="17"/>
      <c r="K88" s="17"/>
      <c r="L88" s="17"/>
      <c r="M88" s="64"/>
      <c r="N88" s="61"/>
      <c r="O88" s="17"/>
      <c r="P88" s="52"/>
    </row>
    <row r="89" spans="1:16" ht="16.5">
      <c r="A89" s="290"/>
      <c r="B89" s="289" t="s">
        <v>107</v>
      </c>
      <c r="C89" s="17" t="s">
        <v>99</v>
      </c>
      <c r="D89" s="63">
        <v>2</v>
      </c>
      <c r="E89" s="61">
        <f>IF(D89&gt;D90,D89/D90,D90/D89)</f>
        <v>2.1</v>
      </c>
      <c r="F89" s="17">
        <f>IF(E89&lt;2,2,1)</f>
        <v>1</v>
      </c>
      <c r="G89" s="17">
        <f>IF(F89=2,D89/(2*D90),0)</f>
        <v>0</v>
      </c>
      <c r="H89" s="17"/>
      <c r="I89" s="61">
        <f>IF(F89=2,(1-2*(G89)^2+(G89)^3)*$P$6*D89/2,5*$P$6*D89/16)</f>
        <v>2.1225</v>
      </c>
      <c r="J89" s="17"/>
      <c r="K89" s="17"/>
      <c r="L89" s="17"/>
      <c r="M89" s="64">
        <v>3.6</v>
      </c>
      <c r="N89" s="61">
        <f>IF(F89=2,(1-2*(G89)^2+(G89)^3)*M89*D89/2,M89*D89/2)</f>
        <v>3.6</v>
      </c>
      <c r="O89" s="17"/>
      <c r="P89" s="52"/>
    </row>
    <row r="90" spans="1:16" ht="16.5">
      <c r="A90" s="290"/>
      <c r="B90" s="289"/>
      <c r="C90" s="17" t="s">
        <v>100</v>
      </c>
      <c r="D90" s="63">
        <v>4.2</v>
      </c>
      <c r="E90" s="17"/>
      <c r="F90" s="17"/>
      <c r="G90" s="17"/>
      <c r="H90" s="17">
        <f>0.1*18*($J$9-D93)</f>
        <v>5.8500000000000005</v>
      </c>
      <c r="I90" s="61"/>
      <c r="J90" s="61">
        <f>I89+I91</f>
        <v>3.18375</v>
      </c>
      <c r="K90" s="61">
        <f>D92*D93*$N$5*1.1</f>
        <v>2.40625</v>
      </c>
      <c r="L90" s="65">
        <f>J90+K90+H90</f>
        <v>11.440000000000001</v>
      </c>
      <c r="M90" s="64"/>
      <c r="N90" s="61"/>
      <c r="O90" s="65">
        <f>N89+N91</f>
        <v>4.9</v>
      </c>
      <c r="P90" s="52"/>
    </row>
    <row r="91" spans="1:16" ht="15.75" customHeight="1">
      <c r="A91" s="290"/>
      <c r="B91" s="289"/>
      <c r="C91" s="17" t="s">
        <v>101</v>
      </c>
      <c r="D91" s="63">
        <v>1</v>
      </c>
      <c r="E91" s="61">
        <f>IF(D91&gt;D90,D91/D90,D90/D91)</f>
        <v>4.2</v>
      </c>
      <c r="F91" s="17">
        <f>IF(E91&lt;2,2,1)</f>
        <v>1</v>
      </c>
      <c r="G91" s="17">
        <f>IF(F91=2,D91/(2*$D90),0)</f>
        <v>0</v>
      </c>
      <c r="H91" s="17"/>
      <c r="I91" s="61">
        <f>IF(F91=2,(1-2*(G91)^2+(G91)^3)*$P$6*D91/2,5*$P$6*D91/16)</f>
        <v>1.06125</v>
      </c>
      <c r="J91" s="17"/>
      <c r="K91" s="17"/>
      <c r="L91" s="17"/>
      <c r="M91" s="64">
        <v>2.6</v>
      </c>
      <c r="N91" s="61">
        <f>IF(F91=2,(1-2*(G91)^2+(G91)^3)*M91*D91/2,M91*D91/2)</f>
        <v>1.3</v>
      </c>
      <c r="O91" s="17"/>
      <c r="P91" s="52"/>
    </row>
    <row r="92" spans="1:16" ht="16.5" hidden="1">
      <c r="A92" s="290"/>
      <c r="B92" s="289"/>
      <c r="C92" s="17" t="s">
        <v>7</v>
      </c>
      <c r="D92" s="66">
        <v>0.25</v>
      </c>
      <c r="E92" s="17"/>
      <c r="F92" s="17"/>
      <c r="G92" s="17"/>
      <c r="H92" s="17"/>
      <c r="I92" s="61"/>
      <c r="J92" s="17"/>
      <c r="K92" s="17"/>
      <c r="L92" s="17"/>
      <c r="M92" s="64"/>
      <c r="N92" s="61"/>
      <c r="O92" s="17"/>
      <c r="P92" s="52"/>
    </row>
    <row r="93" spans="1:16" ht="16.5" hidden="1">
      <c r="A93" s="290"/>
      <c r="B93" s="289"/>
      <c r="C93" s="17" t="s">
        <v>8</v>
      </c>
      <c r="D93" s="66">
        <v>0.35</v>
      </c>
      <c r="E93" s="17"/>
      <c r="F93" s="17"/>
      <c r="G93" s="17"/>
      <c r="H93" s="17"/>
      <c r="I93" s="61"/>
      <c r="J93" s="17"/>
      <c r="K93" s="17"/>
      <c r="L93" s="17"/>
      <c r="M93" s="64"/>
      <c r="N93" s="61"/>
      <c r="O93" s="17"/>
      <c r="P93" s="52"/>
    </row>
    <row r="94" spans="1:16" ht="23.25" customHeight="1">
      <c r="A94" s="290" t="s">
        <v>109</v>
      </c>
      <c r="B94" s="288" t="s">
        <v>130</v>
      </c>
      <c r="C94" s="17" t="s">
        <v>99</v>
      </c>
      <c r="D94" s="63">
        <v>2</v>
      </c>
      <c r="E94" s="61">
        <f>IF(D94&gt;D95,D94/D95,D95/D94)</f>
        <v>2.1</v>
      </c>
      <c r="F94" s="17">
        <f>IF(E94&lt;2,2,1)</f>
        <v>1</v>
      </c>
      <c r="G94" s="17">
        <f>IF(F94=2,D94/(2*$D$14),0)</f>
        <v>0</v>
      </c>
      <c r="H94" s="17"/>
      <c r="I94" s="61">
        <f>IF(F94=2,(1-2*(G94)^2+(G94)^3)*$P$6*D94/2,$P$6*D94/2)</f>
        <v>3.3960000000000004</v>
      </c>
      <c r="J94" s="17"/>
      <c r="K94" s="17"/>
      <c r="L94" s="17"/>
      <c r="M94" s="64">
        <v>3.6</v>
      </c>
      <c r="N94" s="61">
        <f>IF(F94=2,(1-2*(G94)^2+(G94)^3)*M94*D94/2,M94*D94/2)</f>
        <v>3.6</v>
      </c>
      <c r="O94" s="17"/>
      <c r="P94" s="52"/>
    </row>
    <row r="95" spans="1:16" ht="18" customHeight="1">
      <c r="A95" s="290"/>
      <c r="B95" s="289"/>
      <c r="C95" s="17" t="s">
        <v>100</v>
      </c>
      <c r="D95" s="63">
        <v>4.2</v>
      </c>
      <c r="E95" s="17"/>
      <c r="F95" s="17"/>
      <c r="G95" s="17"/>
      <c r="H95" s="17">
        <f>0.1*18*(1.5)</f>
        <v>2.7</v>
      </c>
      <c r="I95" s="61"/>
      <c r="J95" s="61">
        <f>I94+I96</f>
        <v>3.3960000000000004</v>
      </c>
      <c r="K95" s="61">
        <f>0.2*0.3*25*1.1</f>
        <v>1.6500000000000001</v>
      </c>
      <c r="L95" s="65">
        <f>J95+K95+H95</f>
        <v>7.746</v>
      </c>
      <c r="M95" s="64"/>
      <c r="N95" s="61"/>
      <c r="O95" s="65">
        <f>N94+N96</f>
        <v>3.6</v>
      </c>
      <c r="P95" s="52"/>
    </row>
    <row r="96" spans="1:16" ht="16.5">
      <c r="A96" s="290"/>
      <c r="B96" s="289"/>
      <c r="C96" s="17"/>
      <c r="D96" s="63"/>
      <c r="E96" s="61"/>
      <c r="F96" s="17"/>
      <c r="G96" s="17"/>
      <c r="H96" s="17"/>
      <c r="I96" s="61"/>
      <c r="J96" s="17"/>
      <c r="K96" s="17"/>
      <c r="L96" s="17"/>
      <c r="M96" s="64"/>
      <c r="N96" s="61">
        <f>IF(F96=2,(1-2*(G96)^2+(G96)^3)*M96*D96/2,M96*D96/2)</f>
        <v>0</v>
      </c>
      <c r="O96" s="17"/>
      <c r="P96" s="52"/>
    </row>
    <row r="97" spans="1:16" ht="16.5" hidden="1">
      <c r="A97" s="290"/>
      <c r="B97" s="289"/>
      <c r="C97" s="17" t="s">
        <v>7</v>
      </c>
      <c r="D97" s="66">
        <v>0.25</v>
      </c>
      <c r="E97" s="17"/>
      <c r="F97" s="17"/>
      <c r="G97" s="17"/>
      <c r="H97" s="17"/>
      <c r="I97" s="61"/>
      <c r="J97" s="17"/>
      <c r="K97" s="17"/>
      <c r="L97" s="17"/>
      <c r="M97" s="64"/>
      <c r="N97" s="61"/>
      <c r="O97" s="17"/>
      <c r="P97" s="52"/>
    </row>
    <row r="98" spans="1:16" ht="16.5" hidden="1">
      <c r="A98" s="290"/>
      <c r="B98" s="289"/>
      <c r="C98" s="17" t="s">
        <v>8</v>
      </c>
      <c r="D98" s="66">
        <v>0.35</v>
      </c>
      <c r="E98" s="17"/>
      <c r="F98" s="17"/>
      <c r="G98" s="17"/>
      <c r="H98" s="17"/>
      <c r="I98" s="61"/>
      <c r="J98" s="17"/>
      <c r="K98" s="17"/>
      <c r="L98" s="17"/>
      <c r="M98" s="64"/>
      <c r="N98" s="61"/>
      <c r="O98" s="17"/>
      <c r="P98" s="52"/>
    </row>
    <row r="99" spans="1:16" ht="16.5" hidden="1">
      <c r="A99" s="290"/>
      <c r="B99" s="289"/>
      <c r="C99" s="17"/>
      <c r="D99" s="63"/>
      <c r="E99" s="61"/>
      <c r="F99" s="17"/>
      <c r="G99" s="17"/>
      <c r="H99" s="17"/>
      <c r="I99" s="61"/>
      <c r="J99" s="17"/>
      <c r="K99" s="17"/>
      <c r="L99" s="65"/>
      <c r="M99" s="64"/>
      <c r="N99" s="61"/>
      <c r="O99" s="17"/>
      <c r="P99" s="52"/>
    </row>
    <row r="100" spans="1:16" ht="27" customHeight="1" hidden="1">
      <c r="A100" s="290"/>
      <c r="B100" s="289"/>
      <c r="C100" s="17"/>
      <c r="D100" s="66"/>
      <c r="E100" s="17"/>
      <c r="F100" s="17"/>
      <c r="G100" s="17"/>
      <c r="H100" s="17"/>
      <c r="I100" s="61"/>
      <c r="J100" s="17"/>
      <c r="K100" s="17"/>
      <c r="L100" s="17"/>
      <c r="M100" s="17"/>
      <c r="N100" s="61"/>
      <c r="O100" s="17"/>
      <c r="P100" s="52"/>
    </row>
    <row r="101" spans="1:16" ht="19.5" customHeight="1" hidden="1">
      <c r="A101" s="290"/>
      <c r="B101" s="289"/>
      <c r="C101" s="17"/>
      <c r="D101" s="66"/>
      <c r="E101" s="17"/>
      <c r="F101" s="17"/>
      <c r="G101" s="17"/>
      <c r="H101" s="17"/>
      <c r="I101" s="61"/>
      <c r="J101" s="17"/>
      <c r="K101" s="17"/>
      <c r="L101" s="17"/>
      <c r="M101" s="17"/>
      <c r="N101" s="61"/>
      <c r="O101" s="17"/>
      <c r="P101" s="52"/>
    </row>
    <row r="102" spans="1:16" ht="15.75" customHeight="1" hidden="1">
      <c r="A102" s="290"/>
      <c r="B102" s="289"/>
      <c r="C102" s="17" t="s">
        <v>7</v>
      </c>
      <c r="D102" s="66">
        <v>0.25</v>
      </c>
      <c r="E102" s="17"/>
      <c r="F102" s="17"/>
      <c r="G102" s="17"/>
      <c r="H102" s="17"/>
      <c r="I102" s="61"/>
      <c r="J102" s="17"/>
      <c r="K102" s="17"/>
      <c r="L102" s="17"/>
      <c r="M102" s="17"/>
      <c r="N102" s="61"/>
      <c r="O102" s="17"/>
      <c r="P102" s="52"/>
    </row>
    <row r="103" spans="1:16" ht="28.5" customHeight="1" hidden="1">
      <c r="A103" s="290"/>
      <c r="B103" s="289"/>
      <c r="C103" s="17" t="s">
        <v>8</v>
      </c>
      <c r="D103" s="66">
        <v>0.35</v>
      </c>
      <c r="E103" s="17"/>
      <c r="F103" s="17"/>
      <c r="G103" s="17"/>
      <c r="H103" s="17"/>
      <c r="I103" s="61"/>
      <c r="J103" s="17"/>
      <c r="K103" s="17"/>
      <c r="L103" s="17"/>
      <c r="M103" s="17"/>
      <c r="N103" s="61"/>
      <c r="O103" s="17"/>
      <c r="P103" s="52"/>
    </row>
    <row r="104" spans="1:16" ht="16.5" hidden="1">
      <c r="A104" s="290"/>
      <c r="B104" s="289"/>
      <c r="C104" s="17"/>
      <c r="D104" s="66"/>
      <c r="E104" s="17"/>
      <c r="F104" s="17"/>
      <c r="G104" s="17"/>
      <c r="H104" s="17"/>
      <c r="I104" s="61"/>
      <c r="J104" s="17"/>
      <c r="K104" s="17"/>
      <c r="L104" s="17"/>
      <c r="M104" s="17"/>
      <c r="N104" s="61"/>
      <c r="O104" s="17"/>
      <c r="P104" s="52"/>
    </row>
    <row r="105" spans="1:16" ht="16.5" hidden="1">
      <c r="A105" s="290"/>
      <c r="B105" s="289"/>
      <c r="C105" s="17"/>
      <c r="D105" s="66"/>
      <c r="E105" s="17"/>
      <c r="F105" s="17"/>
      <c r="G105" s="17"/>
      <c r="H105" s="17"/>
      <c r="I105" s="61"/>
      <c r="J105" s="17"/>
      <c r="K105" s="17"/>
      <c r="L105" s="17"/>
      <c r="M105" s="17"/>
      <c r="N105" s="61"/>
      <c r="O105" s="17"/>
      <c r="P105" s="52"/>
    </row>
    <row r="106" spans="1:16" ht="16.5" hidden="1">
      <c r="A106" s="290"/>
      <c r="B106" s="289"/>
      <c r="C106" s="17"/>
      <c r="D106" s="66"/>
      <c r="E106" s="17"/>
      <c r="F106" s="17"/>
      <c r="G106" s="17"/>
      <c r="H106" s="17"/>
      <c r="I106" s="61"/>
      <c r="J106" s="17"/>
      <c r="K106" s="17"/>
      <c r="L106" s="17"/>
      <c r="M106" s="17"/>
      <c r="N106" s="61"/>
      <c r="O106" s="17"/>
      <c r="P106" s="52"/>
    </row>
    <row r="107" spans="1:16" ht="16.5" hidden="1">
      <c r="A107" s="290"/>
      <c r="B107" s="289"/>
      <c r="C107" s="17"/>
      <c r="D107" s="66"/>
      <c r="E107" s="17"/>
      <c r="F107" s="17"/>
      <c r="G107" s="17"/>
      <c r="H107" s="17"/>
      <c r="I107" s="61"/>
      <c r="J107" s="17"/>
      <c r="K107" s="17"/>
      <c r="L107" s="17"/>
      <c r="M107" s="17"/>
      <c r="N107" s="61"/>
      <c r="O107" s="17"/>
      <c r="P107" s="52"/>
    </row>
    <row r="108" spans="1:16" ht="16.5">
      <c r="A108" s="290"/>
      <c r="B108" s="289"/>
      <c r="C108" s="17"/>
      <c r="D108" s="66"/>
      <c r="E108" s="17"/>
      <c r="F108" s="17"/>
      <c r="G108" s="17"/>
      <c r="H108" s="17"/>
      <c r="I108" s="61"/>
      <c r="J108" s="17"/>
      <c r="K108" s="17"/>
      <c r="L108" s="17"/>
      <c r="M108" s="17"/>
      <c r="N108" s="61"/>
      <c r="O108" s="17"/>
      <c r="P108" s="52"/>
    </row>
    <row r="109" spans="1:16" ht="16.5">
      <c r="A109" s="290"/>
      <c r="B109" s="289" t="s">
        <v>106</v>
      </c>
      <c r="C109" s="17" t="s">
        <v>99</v>
      </c>
      <c r="D109" s="63">
        <v>2</v>
      </c>
      <c r="E109" s="61">
        <f>IF(D109&gt;D110,D109/D110,D110/D109)</f>
        <v>2.1</v>
      </c>
      <c r="F109" s="17">
        <f>IF(E109&lt;2,2,1)</f>
        <v>1</v>
      </c>
      <c r="G109" s="17">
        <f>IF(F109=2,D109/(2*D110),0)</f>
        <v>0</v>
      </c>
      <c r="H109" s="17"/>
      <c r="I109" s="61">
        <f>IF(F109=2,(1-2*(G109)^2+(G109)^3)*$P$6*D109/2,$P$6*D109/2)</f>
        <v>3.3960000000000004</v>
      </c>
      <c r="J109" s="17"/>
      <c r="K109" s="17"/>
      <c r="L109" s="17"/>
      <c r="M109" s="64">
        <v>3.6</v>
      </c>
      <c r="N109" s="61">
        <f>IF(F109=2,(1-2*(G109)^2+(G109)^3)*M109*D109/2,M109*D109/2)</f>
        <v>3.6</v>
      </c>
      <c r="O109" s="17"/>
      <c r="P109" s="52"/>
    </row>
    <row r="110" spans="1:16" ht="15.75" customHeight="1">
      <c r="A110" s="290"/>
      <c r="B110" s="289"/>
      <c r="C110" s="17" t="s">
        <v>100</v>
      </c>
      <c r="D110" s="63">
        <v>4.2</v>
      </c>
      <c r="E110" s="17"/>
      <c r="F110" s="17"/>
      <c r="G110" s="17"/>
      <c r="H110" s="17">
        <f>0.1*18*(1.5)</f>
        <v>2.7</v>
      </c>
      <c r="I110" s="61"/>
      <c r="J110" s="61">
        <f>I109+I111</f>
        <v>3.3960000000000004</v>
      </c>
      <c r="K110" s="61">
        <v>0</v>
      </c>
      <c r="L110" s="65">
        <f>J110+K110+H110</f>
        <v>6.096</v>
      </c>
      <c r="M110" s="64"/>
      <c r="N110" s="61"/>
      <c r="O110" s="65">
        <f>N109+N111</f>
        <v>3.6</v>
      </c>
      <c r="P110" s="52"/>
    </row>
    <row r="111" spans="1:16" ht="1.5" customHeight="1" hidden="1">
      <c r="A111" s="290"/>
      <c r="B111" s="289"/>
      <c r="C111" s="17" t="s">
        <v>101</v>
      </c>
      <c r="D111" s="66"/>
      <c r="E111" s="61"/>
      <c r="F111" s="17"/>
      <c r="G111" s="17"/>
      <c r="H111" s="17"/>
      <c r="I111" s="61"/>
      <c r="J111" s="17"/>
      <c r="K111" s="17"/>
      <c r="L111" s="17"/>
      <c r="M111" s="64"/>
      <c r="N111" s="61"/>
      <c r="O111" s="17"/>
      <c r="P111" s="52"/>
    </row>
    <row r="112" spans="1:16" ht="16.5" hidden="1">
      <c r="A112" s="290"/>
      <c r="B112" s="289"/>
      <c r="C112" s="17" t="s">
        <v>7</v>
      </c>
      <c r="D112" s="66">
        <v>0.25</v>
      </c>
      <c r="E112" s="17"/>
      <c r="F112" s="17"/>
      <c r="G112" s="17"/>
      <c r="H112" s="17"/>
      <c r="I112" s="61"/>
      <c r="J112" s="17"/>
      <c r="K112" s="17"/>
      <c r="L112" s="17"/>
      <c r="M112" s="64"/>
      <c r="N112" s="61"/>
      <c r="O112" s="17"/>
      <c r="P112" s="52"/>
    </row>
    <row r="113" spans="1:16" ht="16.5" hidden="1">
      <c r="A113" s="290"/>
      <c r="B113" s="289"/>
      <c r="C113" s="17" t="s">
        <v>8</v>
      </c>
      <c r="D113" s="66">
        <v>0.35</v>
      </c>
      <c r="E113" s="17"/>
      <c r="F113" s="17"/>
      <c r="G113" s="17"/>
      <c r="H113" s="17"/>
      <c r="I113" s="61"/>
      <c r="J113" s="17"/>
      <c r="K113" s="17"/>
      <c r="L113" s="17"/>
      <c r="M113" s="64"/>
      <c r="N113" s="61"/>
      <c r="O113" s="17"/>
      <c r="P113" s="52"/>
    </row>
    <row r="114" spans="1:16" ht="16.5">
      <c r="A114" s="290"/>
      <c r="B114" s="289" t="s">
        <v>107</v>
      </c>
      <c r="C114" s="17" t="s">
        <v>99</v>
      </c>
      <c r="D114" s="63">
        <v>2</v>
      </c>
      <c r="E114" s="61">
        <f>IF(D114&gt;D115,D114/D115,D115/D114)</f>
        <v>2.1</v>
      </c>
      <c r="F114" s="17">
        <f>IF(E114&lt;2,2,1)</f>
        <v>1</v>
      </c>
      <c r="G114" s="17">
        <f>IF(F114=2,D114/(2*D115),0)</f>
        <v>0</v>
      </c>
      <c r="H114" s="17"/>
      <c r="I114" s="61">
        <f>IF(F114=2,(1-2*(G114)^2+(G114)^3)*$P$6*D114/2,$P$6*D114/2)</f>
        <v>3.3960000000000004</v>
      </c>
      <c r="J114" s="17"/>
      <c r="K114" s="17"/>
      <c r="L114" s="17"/>
      <c r="M114" s="64">
        <v>3.6</v>
      </c>
      <c r="N114" s="61">
        <f>IF(F114=2,(1-2*(G114)^2+(G114)^3)*M114*D114/2,M114*D114/2)</f>
        <v>3.6</v>
      </c>
      <c r="O114" s="17"/>
      <c r="P114" s="52"/>
    </row>
    <row r="115" spans="1:16" ht="16.5">
      <c r="A115" s="290"/>
      <c r="B115" s="289"/>
      <c r="C115" s="17" t="s">
        <v>100</v>
      </c>
      <c r="D115" s="63">
        <v>4.2</v>
      </c>
      <c r="E115" s="17"/>
      <c r="F115" s="17"/>
      <c r="G115" s="17"/>
      <c r="H115" s="17">
        <v>2.7</v>
      </c>
      <c r="I115" s="61"/>
      <c r="J115" s="61">
        <f>I114+I116</f>
        <v>3.3960000000000004</v>
      </c>
      <c r="K115" s="61">
        <v>0</v>
      </c>
      <c r="L115" s="65">
        <f>J115+K115+H115</f>
        <v>6.096</v>
      </c>
      <c r="M115" s="64"/>
      <c r="N115" s="61"/>
      <c r="O115" s="65">
        <f>N114+N116</f>
        <v>3.6</v>
      </c>
      <c r="P115" s="52"/>
    </row>
    <row r="116" spans="1:16" ht="16.5">
      <c r="A116" s="290"/>
      <c r="B116" s="289"/>
      <c r="C116" s="17" t="s">
        <v>101</v>
      </c>
      <c r="D116" s="66"/>
      <c r="E116" s="61"/>
      <c r="F116" s="17"/>
      <c r="G116" s="17"/>
      <c r="H116" s="17"/>
      <c r="I116" s="17"/>
      <c r="J116" s="17"/>
      <c r="K116" s="17"/>
      <c r="L116" s="17"/>
      <c r="M116" s="64"/>
      <c r="N116" s="61"/>
      <c r="O116" s="17"/>
      <c r="P116" s="52"/>
    </row>
    <row r="117" spans="1:16" ht="16.5" hidden="1">
      <c r="A117" s="290"/>
      <c r="B117" s="289"/>
      <c r="C117" s="17" t="s">
        <v>7</v>
      </c>
      <c r="D117" s="66">
        <v>0.25</v>
      </c>
      <c r="E117" s="17"/>
      <c r="F117" s="17"/>
      <c r="G117" s="17"/>
      <c r="H117" s="17"/>
      <c r="I117" s="17"/>
      <c r="J117" s="17"/>
      <c r="K117" s="17"/>
      <c r="L117" s="17"/>
      <c r="M117" s="64"/>
      <c r="N117" s="17"/>
      <c r="O117" s="17"/>
      <c r="P117" s="52"/>
    </row>
    <row r="118" spans="1:16" ht="16.5" hidden="1">
      <c r="A118" s="290"/>
      <c r="B118" s="289"/>
      <c r="C118" s="17" t="s">
        <v>8</v>
      </c>
      <c r="D118" s="66">
        <v>0.35</v>
      </c>
      <c r="E118" s="17"/>
      <c r="F118" s="17"/>
      <c r="G118" s="17"/>
      <c r="H118" s="17"/>
      <c r="I118" s="17"/>
      <c r="J118" s="17"/>
      <c r="K118" s="17"/>
      <c r="L118" s="17"/>
      <c r="M118" s="64"/>
      <c r="N118" s="17"/>
      <c r="O118" s="17"/>
      <c r="P118" s="52"/>
    </row>
    <row r="119" spans="1:15" ht="16.5" customHeight="1">
      <c r="A119" s="290" t="s">
        <v>113</v>
      </c>
      <c r="B119" s="289" t="s">
        <v>103</v>
      </c>
      <c r="C119" s="17" t="s">
        <v>99</v>
      </c>
      <c r="D119" s="63">
        <v>1.2</v>
      </c>
      <c r="E119" s="61">
        <f>IF(D119&gt;D120,D119/D120,D120/D119)</f>
        <v>3.5000000000000004</v>
      </c>
      <c r="F119" s="17">
        <f>IF(E119&lt;2,2,1)</f>
        <v>1</v>
      </c>
      <c r="G119" s="17">
        <f>IF(F119=2,D119/(2*D120),0)</f>
        <v>0</v>
      </c>
      <c r="H119" s="17"/>
      <c r="I119" s="61">
        <f>IF(F119=2,(1-2*(G119)^2+(G119)^3)*$P$6*D119/2,$P$6*D119/2)</f>
        <v>2.0376000000000003</v>
      </c>
      <c r="J119" s="17"/>
      <c r="K119" s="17"/>
      <c r="L119" s="17"/>
      <c r="M119" s="64">
        <v>3.6</v>
      </c>
      <c r="N119" s="61">
        <f>IF(F119=2,(1-2*(G119)^2+(G119)^3)*M119*D119/2,M119*D119/2)</f>
        <v>2.16</v>
      </c>
      <c r="O119" s="17"/>
    </row>
    <row r="120" spans="1:15" ht="16.5">
      <c r="A120" s="290"/>
      <c r="B120" s="289"/>
      <c r="C120" s="17" t="s">
        <v>100</v>
      </c>
      <c r="D120" s="63">
        <v>4.2</v>
      </c>
      <c r="E120" s="17"/>
      <c r="F120" s="17"/>
      <c r="G120" s="17"/>
      <c r="H120" s="17">
        <v>0</v>
      </c>
      <c r="I120" s="61"/>
      <c r="J120" s="61">
        <f>I119+I121</f>
        <v>6.194500550696469</v>
      </c>
      <c r="K120" s="61">
        <v>0</v>
      </c>
      <c r="L120" s="65">
        <f>J120+K120+H120</f>
        <v>6.194500550696469</v>
      </c>
      <c r="M120" s="64"/>
      <c r="N120" s="61"/>
      <c r="O120" s="65">
        <f>N119+N121</f>
        <v>6.566608357628766</v>
      </c>
    </row>
    <row r="121" spans="1:15" ht="14.25" customHeight="1">
      <c r="A121" s="290"/>
      <c r="B121" s="289"/>
      <c r="C121" s="17" t="s">
        <v>101</v>
      </c>
      <c r="D121" s="63">
        <v>3.2</v>
      </c>
      <c r="E121" s="61">
        <f>IF(D121&gt;D120,D121/D120,D120/D121)</f>
        <v>1.3125</v>
      </c>
      <c r="F121" s="17">
        <f>IF(E121&lt;2,2,1)</f>
        <v>2</v>
      </c>
      <c r="G121" s="17">
        <f>IF(F121=2,D121/(2*$D120),0)</f>
        <v>0.38095238095238093</v>
      </c>
      <c r="H121" s="17"/>
      <c r="I121" s="61">
        <f>IF(F121=2,(1-2*(G121)^2+(G121)^3)*$P$6*D121/2,$P$6*D121/2)</f>
        <v>4.156900550696469</v>
      </c>
      <c r="J121" s="17"/>
      <c r="K121" s="17"/>
      <c r="L121" s="17"/>
      <c r="M121" s="64">
        <v>3.6</v>
      </c>
      <c r="N121" s="61">
        <f>IF(F121=2,(1-2*(G121)^2+(G121)^3)*M121*D121/2,M121*D121/2)</f>
        <v>4.406608357628766</v>
      </c>
      <c r="O121" s="17"/>
    </row>
    <row r="122" spans="1:15" ht="16.5" customHeight="1" hidden="1">
      <c r="A122" s="290"/>
      <c r="B122" s="289"/>
      <c r="C122" s="17" t="s">
        <v>7</v>
      </c>
      <c r="D122" s="66">
        <v>0.25</v>
      </c>
      <c r="E122" s="17"/>
      <c r="F122" s="17"/>
      <c r="G122" s="17"/>
      <c r="H122" s="17"/>
      <c r="I122" s="61"/>
      <c r="J122" s="17"/>
      <c r="K122" s="17"/>
      <c r="L122" s="17"/>
      <c r="M122" s="64"/>
      <c r="N122" s="61"/>
      <c r="O122" s="17"/>
    </row>
    <row r="123" spans="1:15" ht="16.5" customHeight="1" hidden="1">
      <c r="A123" s="290"/>
      <c r="B123" s="289"/>
      <c r="C123" s="17" t="s">
        <v>8</v>
      </c>
      <c r="D123" s="66">
        <v>0.35</v>
      </c>
      <c r="E123" s="17"/>
      <c r="F123" s="17"/>
      <c r="G123" s="17"/>
      <c r="H123" s="17"/>
      <c r="I123" s="61"/>
      <c r="J123" s="17"/>
      <c r="K123" s="17"/>
      <c r="L123" s="17"/>
      <c r="M123" s="64"/>
      <c r="N123" s="61"/>
      <c r="O123" s="17"/>
    </row>
    <row r="124" spans="1:15" ht="16.5">
      <c r="A124" s="290"/>
      <c r="B124" s="289" t="s">
        <v>104</v>
      </c>
      <c r="C124" s="17" t="s">
        <v>99</v>
      </c>
      <c r="D124" s="63">
        <v>3.2</v>
      </c>
      <c r="E124" s="61">
        <f>IF(D124&gt;D125,D124/D125,D125/D124)</f>
        <v>1.875</v>
      </c>
      <c r="F124" s="17">
        <f>IF(E124&lt;2,2,1)</f>
        <v>2</v>
      </c>
      <c r="G124" s="17">
        <f>IF(F124=2,D124/(2*D125),0)</f>
        <v>0.26666666666666666</v>
      </c>
      <c r="H124" s="17"/>
      <c r="I124" s="61">
        <f>IF(F124=2,(1-2*(G124)^2+(G124)^3)*$P$6*D124/2,$P$6*D124/2)</f>
        <v>4.763858488888889</v>
      </c>
      <c r="J124" s="17"/>
      <c r="K124" s="17"/>
      <c r="L124" s="17"/>
      <c r="M124" s="64">
        <v>3.6</v>
      </c>
      <c r="N124" s="61">
        <f>IF(F124=2,(1-2*(G124)^2+(G124)^3)*M124*D124/2,M124*D124/2)</f>
        <v>5.0500266666666676</v>
      </c>
      <c r="O124" s="17"/>
    </row>
    <row r="125" spans="1:15" ht="16.5">
      <c r="A125" s="290"/>
      <c r="B125" s="289"/>
      <c r="C125" s="17" t="s">
        <v>100</v>
      </c>
      <c r="D125" s="63">
        <v>6</v>
      </c>
      <c r="E125" s="17"/>
      <c r="F125" s="17"/>
      <c r="G125" s="17"/>
      <c r="H125" s="17">
        <v>0</v>
      </c>
      <c r="I125" s="61"/>
      <c r="J125" s="61">
        <f>I124+I126</f>
        <v>6.80145848888889</v>
      </c>
      <c r="K125" s="61">
        <v>0</v>
      </c>
      <c r="L125" s="65">
        <f>J125+K125+H125</f>
        <v>6.80145848888889</v>
      </c>
      <c r="M125" s="64"/>
      <c r="N125" s="61"/>
      <c r="O125" s="65">
        <f>N124+N126</f>
        <v>7.210026666666668</v>
      </c>
    </row>
    <row r="126" spans="1:15" ht="16.5">
      <c r="A126" s="290"/>
      <c r="B126" s="289"/>
      <c r="C126" s="17" t="s">
        <v>101</v>
      </c>
      <c r="D126" s="63">
        <v>1.2</v>
      </c>
      <c r="E126" s="61">
        <f>IF(D126&gt;D125,D126/D125,D125/D126)</f>
        <v>5</v>
      </c>
      <c r="F126" s="17">
        <f>IF(E126&lt;2,2,1)</f>
        <v>1</v>
      </c>
      <c r="G126" s="17">
        <f>IF(F126=2,D126/(2*D127),0)</f>
        <v>0</v>
      </c>
      <c r="H126" s="17"/>
      <c r="I126" s="61">
        <f>IF(F126=2,(1-2*(G126)^2+(G126)^3)*$P$6*D126/2,$P$6*D126/2)</f>
        <v>2.0376000000000003</v>
      </c>
      <c r="J126" s="17"/>
      <c r="K126" s="17"/>
      <c r="L126" s="17"/>
      <c r="M126" s="64">
        <v>3.6</v>
      </c>
      <c r="N126" s="61">
        <f>IF(F126=2,(1-2*(G126)^2+(G126)^3)*M126*D126/2,M126*D126/2)</f>
        <v>2.16</v>
      </c>
      <c r="O126" s="17"/>
    </row>
    <row r="127" spans="1:15" ht="16.5" customHeight="1" hidden="1">
      <c r="A127" s="290"/>
      <c r="B127" s="289"/>
      <c r="C127" s="17" t="s">
        <v>7</v>
      </c>
      <c r="D127" s="66">
        <v>0.25</v>
      </c>
      <c r="E127" s="17"/>
      <c r="F127" s="17"/>
      <c r="G127" s="17"/>
      <c r="H127" s="17"/>
      <c r="I127" s="61"/>
      <c r="J127" s="17"/>
      <c r="K127" s="17"/>
      <c r="L127" s="17"/>
      <c r="M127" s="64"/>
      <c r="N127" s="61"/>
      <c r="O127" s="17"/>
    </row>
    <row r="128" spans="1:15" ht="16.5" customHeight="1" hidden="1">
      <c r="A128" s="290"/>
      <c r="B128" s="289"/>
      <c r="C128" s="17" t="s">
        <v>8</v>
      </c>
      <c r="D128" s="66">
        <v>0.35</v>
      </c>
      <c r="E128" s="17"/>
      <c r="F128" s="17"/>
      <c r="G128" s="17"/>
      <c r="H128" s="17"/>
      <c r="I128" s="61"/>
      <c r="J128" s="17"/>
      <c r="K128" s="17"/>
      <c r="L128" s="17"/>
      <c r="M128" s="64"/>
      <c r="N128" s="61"/>
      <c r="O128" s="17"/>
    </row>
    <row r="129" spans="1:15" ht="16.5">
      <c r="A129" s="290"/>
      <c r="B129" s="289" t="s">
        <v>105</v>
      </c>
      <c r="C129" s="17" t="s">
        <v>99</v>
      </c>
      <c r="D129" s="63">
        <v>1.2</v>
      </c>
      <c r="E129" s="61">
        <f>IF(D129&gt;D130,D129/D130,D130/D129)</f>
        <v>3.5000000000000004</v>
      </c>
      <c r="F129" s="17">
        <f>IF(E129&lt;2,2,1)</f>
        <v>1</v>
      </c>
      <c r="G129" s="17">
        <f>IF(F129=2,D129/(2*D130),0)</f>
        <v>0</v>
      </c>
      <c r="H129" s="17"/>
      <c r="I129" s="61">
        <f>IF(F129=2,(1-2*(G129)^2+(G129)^3)*$P$6*D129/2,$P$6*D129/2)</f>
        <v>2.0376000000000003</v>
      </c>
      <c r="J129" s="17"/>
      <c r="K129" s="17"/>
      <c r="L129" s="17"/>
      <c r="M129" s="64">
        <v>3.6</v>
      </c>
      <c r="N129" s="61">
        <f>IF(F129=2,(1-2*(G129)^2+(G129)^3)*M129*D129/2,M129*D129/2)</f>
        <v>2.16</v>
      </c>
      <c r="O129" s="17"/>
    </row>
    <row r="130" spans="1:15" ht="16.5">
      <c r="A130" s="290"/>
      <c r="B130" s="289"/>
      <c r="C130" s="17" t="s">
        <v>100</v>
      </c>
      <c r="D130" s="63">
        <v>4.2</v>
      </c>
      <c r="E130" s="17"/>
      <c r="F130" s="17"/>
      <c r="G130" s="17"/>
      <c r="H130" s="17">
        <v>0</v>
      </c>
      <c r="I130" s="61"/>
      <c r="J130" s="61">
        <f>I129+I131</f>
        <v>6.194500550696469</v>
      </c>
      <c r="K130" s="61">
        <v>0</v>
      </c>
      <c r="L130" s="65">
        <f>J130+K130+H130</f>
        <v>6.194500550696469</v>
      </c>
      <c r="M130" s="64"/>
      <c r="N130" s="61"/>
      <c r="O130" s="65">
        <f>N129+N131</f>
        <v>5.097738905085844</v>
      </c>
    </row>
    <row r="131" spans="1:15" ht="15.75" customHeight="1">
      <c r="A131" s="290"/>
      <c r="B131" s="289"/>
      <c r="C131" s="17" t="s">
        <v>101</v>
      </c>
      <c r="D131" s="63">
        <v>3.2</v>
      </c>
      <c r="E131" s="61">
        <f>IF(D131&gt;D130,D131/D130,D130/D131)</f>
        <v>1.3125</v>
      </c>
      <c r="F131" s="17">
        <f>IF(E131&lt;2,2,1)</f>
        <v>2</v>
      </c>
      <c r="G131" s="17">
        <f>IF(F131=2,D131/(2*$D130),0)</f>
        <v>0.38095238095238093</v>
      </c>
      <c r="H131" s="17"/>
      <c r="I131" s="61">
        <f>IF(F131=2,(1-2*(G131)^2+(G131)^3)*$P$6*D131/2,$P$6*D131/2)</f>
        <v>4.156900550696469</v>
      </c>
      <c r="J131" s="17"/>
      <c r="K131" s="17"/>
      <c r="L131" s="17"/>
      <c r="M131" s="64">
        <v>2.4</v>
      </c>
      <c r="N131" s="61">
        <f>IF(F131=2,(1-2*(G131)^2+(G131)^3)*M131*D131/2,M131*D131/2)</f>
        <v>2.937738905085844</v>
      </c>
      <c r="O131" s="17"/>
    </row>
    <row r="132" spans="1:15" ht="0.75" customHeight="1" hidden="1">
      <c r="A132" s="290"/>
      <c r="B132" s="289"/>
      <c r="C132" s="17" t="s">
        <v>7</v>
      </c>
      <c r="D132" s="66">
        <v>0.25</v>
      </c>
      <c r="E132" s="17"/>
      <c r="F132" s="17"/>
      <c r="G132" s="17"/>
      <c r="H132" s="17"/>
      <c r="I132" s="61"/>
      <c r="J132" s="17"/>
      <c r="K132" s="17"/>
      <c r="L132" s="17"/>
      <c r="M132" s="17"/>
      <c r="N132" s="61"/>
      <c r="O132" s="17"/>
    </row>
    <row r="133" spans="1:15" ht="16.5" customHeight="1" hidden="1">
      <c r="A133" s="290"/>
      <c r="B133" s="289"/>
      <c r="C133" s="17" t="s">
        <v>8</v>
      </c>
      <c r="D133" s="66">
        <v>0.35</v>
      </c>
      <c r="E133" s="17"/>
      <c r="F133" s="17"/>
      <c r="G133" s="17"/>
      <c r="H133" s="17"/>
      <c r="I133" s="61"/>
      <c r="J133" s="17"/>
      <c r="K133" s="17"/>
      <c r="L133" s="17"/>
      <c r="M133" s="17"/>
      <c r="N133" s="61"/>
      <c r="O133" s="17"/>
    </row>
    <row r="134" spans="1:15" ht="16.5" customHeight="1">
      <c r="A134" s="290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</row>
    <row r="135" ht="16.5" customHeight="1">
      <c r="A135" s="71"/>
    </row>
  </sheetData>
  <mergeCells count="30">
    <mergeCell ref="M11:N11"/>
    <mergeCell ref="A13:A53"/>
    <mergeCell ref="B13:B17"/>
    <mergeCell ref="B18:B22"/>
    <mergeCell ref="B23:B27"/>
    <mergeCell ref="B29:B33"/>
    <mergeCell ref="B34:B38"/>
    <mergeCell ref="B39:B43"/>
    <mergeCell ref="B44:B48"/>
    <mergeCell ref="B11:H11"/>
    <mergeCell ref="B74:B78"/>
    <mergeCell ref="K1:K6"/>
    <mergeCell ref="A94:A118"/>
    <mergeCell ref="B109:B113"/>
    <mergeCell ref="B114:B118"/>
    <mergeCell ref="B49:B53"/>
    <mergeCell ref="A54:A93"/>
    <mergeCell ref="B79:B83"/>
    <mergeCell ref="B84:B88"/>
    <mergeCell ref="B89:B93"/>
    <mergeCell ref="B94:B108"/>
    <mergeCell ref="A119:A134"/>
    <mergeCell ref="H9:I9"/>
    <mergeCell ref="B119:B123"/>
    <mergeCell ref="B124:B128"/>
    <mergeCell ref="B129:B133"/>
    <mergeCell ref="B54:B58"/>
    <mergeCell ref="B59:B63"/>
    <mergeCell ref="B64:B68"/>
    <mergeCell ref="B69:B73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53"/>
  <sheetViews>
    <sheetView tabSelected="1" workbookViewId="0" topLeftCell="A133">
      <selection activeCell="J157" sqref="J157"/>
    </sheetView>
  </sheetViews>
  <sheetFormatPr defaultColWidth="9.140625" defaultRowHeight="12.75"/>
  <cols>
    <col min="1" max="1" width="10.00390625" style="0" customWidth="1"/>
    <col min="2" max="2" width="9.7109375" style="0" customWidth="1"/>
    <col min="3" max="3" width="9.57421875" style="0" customWidth="1"/>
    <col min="4" max="5" width="4.140625" style="6" customWidth="1"/>
    <col min="6" max="6" width="7.00390625" style="0" customWidth="1"/>
    <col min="7" max="7" width="7.8515625" style="0" customWidth="1"/>
    <col min="8" max="8" width="7.421875" style="261" customWidth="1"/>
    <col min="9" max="9" width="5.8515625" style="275" customWidth="1"/>
    <col min="10" max="10" width="5.28125" style="0" customWidth="1"/>
    <col min="11" max="11" width="5.421875" style="0" customWidth="1"/>
    <col min="12" max="12" width="16.421875" style="0" customWidth="1"/>
    <col min="13" max="14" width="8.8515625" style="0" customWidth="1"/>
    <col min="15" max="15" width="8.57421875" style="0" customWidth="1"/>
    <col min="16" max="16" width="10.00390625" style="0" customWidth="1"/>
    <col min="17" max="17" width="7.28125" style="0" customWidth="1"/>
    <col min="18" max="18" width="7.00390625" style="0" customWidth="1"/>
    <col min="21" max="21" width="7.7109375" style="0" customWidth="1"/>
    <col min="22" max="22" width="8.00390625" style="0" customWidth="1"/>
    <col min="23" max="23" width="6.421875" style="0" customWidth="1"/>
    <col min="24" max="24" width="7.8515625" style="0" customWidth="1"/>
    <col min="27" max="27" width="11.140625" style="0" customWidth="1"/>
  </cols>
  <sheetData>
    <row r="1" spans="1:18" ht="18">
      <c r="A1" s="294" t="s">
        <v>6</v>
      </c>
      <c r="B1" s="294"/>
      <c r="J1" s="6"/>
      <c r="O1" s="2"/>
      <c r="R1" s="4"/>
    </row>
    <row r="2" spans="1:18" ht="18.75" customHeight="1">
      <c r="A2" s="297" t="s">
        <v>15</v>
      </c>
      <c r="B2" s="297"/>
      <c r="C2" s="11" t="s">
        <v>32</v>
      </c>
      <c r="D2" s="6" t="s">
        <v>16</v>
      </c>
      <c r="E2" s="210" t="s">
        <v>23</v>
      </c>
      <c r="F2" s="7" t="s">
        <v>38</v>
      </c>
      <c r="G2" s="10">
        <v>320</v>
      </c>
      <c r="J2" s="6"/>
      <c r="L2" s="296" t="s">
        <v>15</v>
      </c>
      <c r="M2" s="296"/>
      <c r="O2" t="s">
        <v>16</v>
      </c>
      <c r="P2" s="11" t="s">
        <v>23</v>
      </c>
      <c r="Q2" s="7"/>
      <c r="R2" s="4"/>
    </row>
    <row r="3" spans="1:18" ht="14.25" customHeight="1">
      <c r="A3" s="296" t="s">
        <v>17</v>
      </c>
      <c r="B3" s="296"/>
      <c r="C3" s="10">
        <v>0.85</v>
      </c>
      <c r="D3" s="6" t="s">
        <v>20</v>
      </c>
      <c r="E3" s="210">
        <v>28</v>
      </c>
      <c r="F3" s="6" t="s">
        <v>9</v>
      </c>
      <c r="G3">
        <f>0.9*G2</f>
        <v>288</v>
      </c>
      <c r="J3" s="6"/>
      <c r="L3" s="296" t="s">
        <v>17</v>
      </c>
      <c r="M3" s="296"/>
      <c r="O3" t="s">
        <v>20</v>
      </c>
      <c r="P3" s="10">
        <v>28</v>
      </c>
      <c r="Q3" s="7"/>
      <c r="R3" s="4"/>
    </row>
    <row r="4" spans="1:18" ht="14.25" customHeight="1">
      <c r="A4" s="296" t="s">
        <v>18</v>
      </c>
      <c r="B4" s="296"/>
      <c r="C4" s="10">
        <v>0.075</v>
      </c>
      <c r="D4" s="6" t="s">
        <v>21</v>
      </c>
      <c r="E4" s="210">
        <v>28</v>
      </c>
      <c r="F4" s="7" t="s">
        <v>28</v>
      </c>
      <c r="G4" s="5">
        <v>0.681</v>
      </c>
      <c r="J4" s="6"/>
      <c r="L4" s="296" t="s">
        <v>18</v>
      </c>
      <c r="M4" s="296"/>
      <c r="O4" t="s">
        <v>21</v>
      </c>
      <c r="P4" s="10">
        <v>28</v>
      </c>
      <c r="Q4" s="7"/>
      <c r="R4" s="4"/>
    </row>
    <row r="5" spans="1:18" ht="14.25" customHeight="1">
      <c r="A5" s="296" t="s">
        <v>19</v>
      </c>
      <c r="B5" s="296"/>
      <c r="C5" s="10">
        <v>2400</v>
      </c>
      <c r="D5" s="6" t="s">
        <v>22</v>
      </c>
      <c r="E5" s="210">
        <v>21000</v>
      </c>
      <c r="F5" s="7" t="s">
        <v>10</v>
      </c>
      <c r="G5" s="4">
        <f>E5/C5</f>
        <v>8.75</v>
      </c>
      <c r="J5" s="6"/>
      <c r="L5" s="296" t="s">
        <v>19</v>
      </c>
      <c r="M5" s="296"/>
      <c r="O5" t="s">
        <v>22</v>
      </c>
      <c r="P5" s="10">
        <v>210000</v>
      </c>
      <c r="Q5" s="7"/>
      <c r="R5" s="4"/>
    </row>
    <row r="6" spans="1:18" ht="14.25" customHeight="1">
      <c r="A6" s="298"/>
      <c r="B6" s="298"/>
      <c r="C6" s="14"/>
      <c r="E6" s="211"/>
      <c r="F6" s="7" t="s">
        <v>25</v>
      </c>
      <c r="G6" s="5">
        <v>0.9</v>
      </c>
      <c r="J6" s="6"/>
      <c r="L6" s="6"/>
      <c r="M6" s="7"/>
      <c r="N6" s="5"/>
      <c r="O6" s="2"/>
      <c r="Q6" s="7"/>
      <c r="R6" s="4"/>
    </row>
    <row r="7" spans="1:13" ht="21" customHeight="1">
      <c r="A7" s="3" t="s">
        <v>6</v>
      </c>
      <c r="G7" s="6" t="s">
        <v>27</v>
      </c>
      <c r="H7" s="270">
        <v>3.5</v>
      </c>
      <c r="I7" s="295" t="s">
        <v>33</v>
      </c>
      <c r="J7" s="295"/>
      <c r="K7" s="295"/>
      <c r="L7" t="s">
        <v>34</v>
      </c>
      <c r="M7">
        <v>2.262</v>
      </c>
    </row>
    <row r="8" spans="1:11" ht="21" customHeight="1">
      <c r="A8" s="3"/>
      <c r="G8" s="6"/>
      <c r="H8" s="270"/>
      <c r="I8" s="276"/>
      <c r="J8" s="1"/>
      <c r="K8" s="1"/>
    </row>
    <row r="9" spans="1:16" ht="19.5">
      <c r="A9" s="268" t="s">
        <v>362</v>
      </c>
      <c r="B9" s="268"/>
      <c r="C9" s="268"/>
      <c r="D9" s="268"/>
      <c r="E9" s="268"/>
      <c r="F9" s="268"/>
      <c r="G9" s="6" t="s">
        <v>31</v>
      </c>
      <c r="H9" s="271">
        <v>3.5</v>
      </c>
      <c r="I9" s="277" t="s">
        <v>353</v>
      </c>
      <c r="J9">
        <v>0.449</v>
      </c>
      <c r="L9" s="9" t="s">
        <v>35</v>
      </c>
      <c r="M9" s="12">
        <v>0.0015</v>
      </c>
      <c r="O9" s="9" t="s">
        <v>36</v>
      </c>
      <c r="P9" s="8">
        <f>G4*(G6*C3)/P3*100</f>
        <v>1.8605892857142858</v>
      </c>
    </row>
    <row r="10" spans="1:27" s="180" customFormat="1" ht="18.75">
      <c r="A10" s="91" t="s">
        <v>131</v>
      </c>
      <c r="B10" s="75" t="s">
        <v>361</v>
      </c>
      <c r="C10" s="75" t="s">
        <v>360</v>
      </c>
      <c r="D10" s="212" t="s">
        <v>7</v>
      </c>
      <c r="E10" s="212" t="s">
        <v>8</v>
      </c>
      <c r="F10" s="80" t="s">
        <v>133</v>
      </c>
      <c r="G10" s="81" t="s">
        <v>29</v>
      </c>
      <c r="H10" s="272" t="s">
        <v>39</v>
      </c>
      <c r="I10" s="278" t="s">
        <v>24</v>
      </c>
      <c r="J10" s="18" t="s">
        <v>37</v>
      </c>
      <c r="K10" s="80" t="s">
        <v>30</v>
      </c>
      <c r="L10" s="75" t="s">
        <v>41</v>
      </c>
      <c r="M10" s="293"/>
      <c r="N10" s="293"/>
      <c r="Q10" s="213"/>
      <c r="R10" s="213"/>
      <c r="S10" s="214"/>
      <c r="T10" s="214"/>
      <c r="U10" s="214"/>
      <c r="V10" s="214"/>
      <c r="W10" s="214"/>
      <c r="X10" s="214"/>
      <c r="Y10" s="215"/>
      <c r="Z10" s="214"/>
      <c r="AA10" s="107"/>
    </row>
    <row r="11" spans="1:27" s="180" customFormat="1" ht="15.75">
      <c r="A11" s="269" t="s">
        <v>98</v>
      </c>
      <c r="B11" s="18">
        <v>0</v>
      </c>
      <c r="C11" s="18"/>
      <c r="D11" s="34">
        <v>25</v>
      </c>
      <c r="E11" s="34">
        <v>35</v>
      </c>
      <c r="F11" s="19">
        <f>B11/($G$6*$C$3*D11*(E11-$H$9)^2)</f>
        <v>0</v>
      </c>
      <c r="G11" s="19">
        <f>1-SQRT(1-2*F11)</f>
        <v>0</v>
      </c>
      <c r="H11" s="273" t="str">
        <f aca="true" t="shared" si="0" ref="H11:H37">IF(F11&gt;$J$9,(B11-($J$9*$G$6*$C$3*D11*(E11-$H$9)^2))/($P$4*(E11-$H$7)),"Cấu tạo")</f>
        <v>Cấu tạo</v>
      </c>
      <c r="I11" s="279">
        <f aca="true" t="shared" si="1" ref="I11:I37">IF(F11&lt;=$J$9,(G11*$G$6*$C$3*D11*(E11-$H$9))/$P$3,($J$9*$G$6*$C$3*D11*(E11-$H$9))/$P$3+(($P$4*$M$7)/$P$3))</f>
        <v>0</v>
      </c>
      <c r="J11" s="18" t="str">
        <f>IF(AND(($M$7+I11)/D11*(E11-$H$9)&gt;$M$9,($M$7+I11)/(D11*(E11-$H$9))&lt;=$P$9),"Thỏa","Không")</f>
        <v>Thỏa</v>
      </c>
      <c r="K11" s="18">
        <f aca="true" t="shared" si="2" ref="K11:K22">(I11+$M$7)/(D11*(E11-$H$9))*100</f>
        <v>0.28723809523809524</v>
      </c>
      <c r="L11" s="18" t="s">
        <v>134</v>
      </c>
      <c r="N11" s="216"/>
      <c r="Q11" s="257"/>
      <c r="R11" s="192"/>
      <c r="S11" s="217"/>
      <c r="T11" s="217"/>
      <c r="U11" s="217"/>
      <c r="V11" s="217"/>
      <c r="W11" s="258"/>
      <c r="X11" s="258"/>
      <c r="Y11" s="192"/>
      <c r="Z11" s="192"/>
      <c r="AA11" s="218"/>
    </row>
    <row r="12" spans="1:27" s="219" customFormat="1" ht="15.75">
      <c r="A12" s="269"/>
      <c r="B12" s="35"/>
      <c r="C12" s="155">
        <v>2660.3</v>
      </c>
      <c r="D12" s="85">
        <v>25</v>
      </c>
      <c r="E12" s="85">
        <v>35</v>
      </c>
      <c r="F12" s="19">
        <f>C12/($G$6*$C$3*D12*(E12-$H$9)^2)</f>
        <v>0.1401871036480436</v>
      </c>
      <c r="G12" s="84">
        <f aca="true" t="shared" si="3" ref="G12:G37">1-SQRT(1-2*F12)</f>
        <v>0.15169239499818654</v>
      </c>
      <c r="H12" s="273" t="str">
        <f t="shared" si="0"/>
        <v>Cấu tạo</v>
      </c>
      <c r="I12" s="279">
        <f t="shared" si="1"/>
        <v>3.263756686132857</v>
      </c>
      <c r="J12" s="18" t="str">
        <f aca="true" t="shared" si="4" ref="J12:J75">IF(AND(($M$7+I12)/D12*(E12-$H$9)&gt;$M$9,($M$7+I12)/(D12*(E12-$H$9))&lt;=$P$9),"Thỏa","Không")</f>
        <v>Thỏa</v>
      </c>
      <c r="K12" s="18">
        <f t="shared" si="2"/>
        <v>0.7016833887152834</v>
      </c>
      <c r="L12" s="18" t="s">
        <v>196</v>
      </c>
      <c r="P12" s="220"/>
      <c r="Q12" s="257"/>
      <c r="R12" s="221"/>
      <c r="S12" s="217"/>
      <c r="T12" s="217"/>
      <c r="U12" s="217"/>
      <c r="V12" s="217"/>
      <c r="W12" s="258"/>
      <c r="X12" s="258"/>
      <c r="Y12" s="221"/>
      <c r="Z12" s="221"/>
      <c r="AA12" s="222"/>
    </row>
    <row r="13" spans="1:27" s="180" customFormat="1" ht="15.75">
      <c r="A13" s="269"/>
      <c r="B13" s="86">
        <v>3585.4</v>
      </c>
      <c r="C13" s="18"/>
      <c r="D13" s="34">
        <v>25</v>
      </c>
      <c r="E13" s="34">
        <v>35</v>
      </c>
      <c r="F13" s="84">
        <f>B13/($G$6*$C$3*D13*(E13-$H$9)^2)</f>
        <v>0.188936150591924</v>
      </c>
      <c r="G13" s="84">
        <f t="shared" si="3"/>
        <v>0.21124927967313278</v>
      </c>
      <c r="H13" s="273" t="str">
        <f t="shared" si="0"/>
        <v>Cấu tạo</v>
      </c>
      <c r="I13" s="280">
        <f t="shared" si="1"/>
        <v>4.545160282967248</v>
      </c>
      <c r="J13" s="18" t="str">
        <f t="shared" si="4"/>
        <v>Thỏa</v>
      </c>
      <c r="K13" s="18">
        <f t="shared" si="2"/>
        <v>0.8644013057736188</v>
      </c>
      <c r="L13" s="18" t="s">
        <v>140</v>
      </c>
      <c r="P13" s="223"/>
      <c r="Q13" s="257"/>
      <c r="R13" s="192"/>
      <c r="S13" s="217"/>
      <c r="T13" s="217"/>
      <c r="U13" s="217"/>
      <c r="V13" s="217"/>
      <c r="W13" s="258"/>
      <c r="X13" s="258"/>
      <c r="Y13" s="192"/>
      <c r="Z13" s="192"/>
      <c r="AA13" s="218"/>
    </row>
    <row r="14" spans="1:27" s="180" customFormat="1" ht="15.75">
      <c r="A14" s="269" t="s">
        <v>102</v>
      </c>
      <c r="B14" s="86">
        <f>B13</f>
        <v>3585.4</v>
      </c>
      <c r="C14" s="18"/>
      <c r="D14" s="34">
        <v>25</v>
      </c>
      <c r="E14" s="34">
        <v>35</v>
      </c>
      <c r="F14" s="84">
        <f>B14/($G$6*$C$3*D14*(E14-$H$9)^2)</f>
        <v>0.188936150591924</v>
      </c>
      <c r="G14" s="84">
        <f>1-SQRT(1-2*F14)</f>
        <v>0.21124927967313278</v>
      </c>
      <c r="H14" s="273" t="str">
        <f t="shared" si="0"/>
        <v>Cấu tạo</v>
      </c>
      <c r="I14" s="280">
        <f t="shared" si="1"/>
        <v>4.545160282967248</v>
      </c>
      <c r="J14" s="18" t="str">
        <f t="shared" si="4"/>
        <v>Thỏa</v>
      </c>
      <c r="K14" s="18">
        <f t="shared" si="2"/>
        <v>0.8644013057736188</v>
      </c>
      <c r="L14" s="18" t="s">
        <v>140</v>
      </c>
      <c r="P14" s="223"/>
      <c r="Q14" s="257"/>
      <c r="R14" s="192"/>
      <c r="S14" s="217"/>
      <c r="T14" s="217"/>
      <c r="U14" s="217"/>
      <c r="V14" s="217"/>
      <c r="W14" s="258"/>
      <c r="X14" s="258"/>
      <c r="Y14" s="192"/>
      <c r="Z14" s="192"/>
      <c r="AA14" s="218"/>
    </row>
    <row r="15" spans="1:27" s="219" customFormat="1" ht="15.75">
      <c r="A15" s="269"/>
      <c r="B15" s="35"/>
      <c r="C15" s="35">
        <v>1601.93</v>
      </c>
      <c r="D15" s="85">
        <v>25</v>
      </c>
      <c r="E15" s="85">
        <v>35</v>
      </c>
      <c r="F15" s="19">
        <f>C15/($G$6*$C$3*D15*(E15-$H$9)^2)</f>
        <v>0.08441526404800603</v>
      </c>
      <c r="G15" s="84">
        <f t="shared" si="3"/>
        <v>0.08831503692120268</v>
      </c>
      <c r="H15" s="274" t="str">
        <f t="shared" si="0"/>
        <v>Cấu tạo</v>
      </c>
      <c r="I15" s="280">
        <f t="shared" si="1"/>
        <v>1.9001532162577512</v>
      </c>
      <c r="J15" s="18" t="str">
        <f t="shared" si="4"/>
        <v>Thỏa</v>
      </c>
      <c r="K15" s="18">
        <f t="shared" si="2"/>
        <v>0.5285273925406668</v>
      </c>
      <c r="L15" s="18" t="s">
        <v>134</v>
      </c>
      <c r="P15" s="220"/>
      <c r="Q15" s="257"/>
      <c r="R15" s="221"/>
      <c r="S15" s="217"/>
      <c r="T15" s="217"/>
      <c r="U15" s="217"/>
      <c r="V15" s="217"/>
      <c r="W15" s="258"/>
      <c r="X15" s="258"/>
      <c r="Y15" s="221"/>
      <c r="Z15" s="221"/>
      <c r="AA15" s="222"/>
    </row>
    <row r="16" spans="1:27" s="180" customFormat="1" ht="15.75">
      <c r="A16" s="269"/>
      <c r="B16" s="18">
        <v>3138.74</v>
      </c>
      <c r="C16" s="18"/>
      <c r="D16" s="34">
        <v>25</v>
      </c>
      <c r="E16" s="34">
        <v>35</v>
      </c>
      <c r="F16" s="84">
        <f>B16/($G$6*$C$3*D16*(E16-$H$9)^2)</f>
        <v>0.16539896617083047</v>
      </c>
      <c r="G16" s="84">
        <f t="shared" si="3"/>
        <v>0.18195228277420206</v>
      </c>
      <c r="H16" s="273" t="str">
        <f t="shared" si="0"/>
        <v>Cấu tạo</v>
      </c>
      <c r="I16" s="280">
        <f t="shared" si="1"/>
        <v>3.9148170840636913</v>
      </c>
      <c r="J16" s="18" t="str">
        <f t="shared" si="4"/>
        <v>Thỏa</v>
      </c>
      <c r="K16" s="18">
        <f t="shared" si="2"/>
        <v>0.7843577249604686</v>
      </c>
      <c r="L16" s="18" t="s">
        <v>167</v>
      </c>
      <c r="M16" s="192"/>
      <c r="N16" s="224"/>
      <c r="O16" s="225"/>
      <c r="P16" s="226"/>
      <c r="Q16" s="257"/>
      <c r="R16" s="192"/>
      <c r="S16" s="217"/>
      <c r="T16" s="217"/>
      <c r="U16" s="217"/>
      <c r="V16" s="217"/>
      <c r="W16" s="258"/>
      <c r="X16" s="258"/>
      <c r="Y16" s="192"/>
      <c r="Z16" s="192"/>
      <c r="AA16" s="218"/>
    </row>
    <row r="17" spans="1:27" s="180" customFormat="1" ht="15.75">
      <c r="A17" s="269" t="s">
        <v>125</v>
      </c>
      <c r="B17" s="18">
        <f>B16</f>
        <v>3138.74</v>
      </c>
      <c r="C17" s="18"/>
      <c r="D17" s="34">
        <v>25</v>
      </c>
      <c r="E17" s="34">
        <v>35</v>
      </c>
      <c r="F17" s="84">
        <f>B17/($G$6*$C$3*D17*(E17-$H$9)^2)</f>
        <v>0.16539896617083047</v>
      </c>
      <c r="G17" s="84">
        <f t="shared" si="3"/>
        <v>0.18195228277420206</v>
      </c>
      <c r="H17" s="273" t="str">
        <f t="shared" si="0"/>
        <v>Cấu tạo</v>
      </c>
      <c r="I17" s="280">
        <f t="shared" si="1"/>
        <v>3.9148170840636913</v>
      </c>
      <c r="J17" s="18" t="str">
        <f t="shared" si="4"/>
        <v>Thỏa</v>
      </c>
      <c r="K17" s="18">
        <f t="shared" si="2"/>
        <v>0.7843577249604686</v>
      </c>
      <c r="L17" s="18" t="s">
        <v>167</v>
      </c>
      <c r="M17" s="226"/>
      <c r="N17" s="224"/>
      <c r="O17" s="226"/>
      <c r="P17" s="226"/>
      <c r="Q17" s="257"/>
      <c r="R17" s="192"/>
      <c r="S17" s="217"/>
      <c r="T17" s="217"/>
      <c r="U17" s="217"/>
      <c r="V17" s="217"/>
      <c r="W17" s="258"/>
      <c r="X17" s="258"/>
      <c r="Y17" s="192"/>
      <c r="Z17" s="192"/>
      <c r="AA17" s="218"/>
    </row>
    <row r="18" spans="1:27" s="219" customFormat="1" ht="15.75">
      <c r="A18" s="269"/>
      <c r="B18" s="35"/>
      <c r="C18" s="35">
        <v>2252.96</v>
      </c>
      <c r="D18" s="85">
        <v>25</v>
      </c>
      <c r="E18" s="85">
        <v>35</v>
      </c>
      <c r="F18" s="19">
        <f>C18/($G$6*$C$3*D18*(E18-$H$9)^2)</f>
        <v>0.11872192498398537</v>
      </c>
      <c r="G18" s="84">
        <f t="shared" si="3"/>
        <v>0.12675538934842012</v>
      </c>
      <c r="H18" s="274" t="str">
        <f t="shared" si="0"/>
        <v>Cấu tạo</v>
      </c>
      <c r="I18" s="280">
        <f t="shared" si="1"/>
        <v>2.7272214239496013</v>
      </c>
      <c r="J18" s="18" t="str">
        <f t="shared" si="4"/>
        <v>Thỏa</v>
      </c>
      <c r="K18" s="18">
        <f t="shared" si="2"/>
        <v>0.633551926850743</v>
      </c>
      <c r="L18" s="18" t="s">
        <v>197</v>
      </c>
      <c r="M18" s="226"/>
      <c r="N18" s="224"/>
      <c r="O18" s="226"/>
      <c r="P18" s="226"/>
      <c r="Q18" s="257"/>
      <c r="R18" s="221"/>
      <c r="S18" s="217"/>
      <c r="T18" s="217"/>
      <c r="U18" s="217"/>
      <c r="V18" s="217"/>
      <c r="W18" s="258"/>
      <c r="X18" s="258"/>
      <c r="Y18" s="221"/>
      <c r="Z18" s="221"/>
      <c r="AA18" s="222"/>
    </row>
    <row r="19" spans="1:27" s="180" customFormat="1" ht="15.75">
      <c r="A19" s="269"/>
      <c r="B19" s="18">
        <v>3533.05</v>
      </c>
      <c r="C19" s="18"/>
      <c r="D19" s="34">
        <v>25</v>
      </c>
      <c r="E19" s="34">
        <v>35</v>
      </c>
      <c r="F19" s="84">
        <f>B19/($G$6*$C$3*D19*(E19-$H$9)^2)</f>
        <v>0.1861775162739993</v>
      </c>
      <c r="G19" s="84">
        <f t="shared" si="3"/>
        <v>0.20775952675213483</v>
      </c>
      <c r="H19" s="273" t="str">
        <f t="shared" si="0"/>
        <v>Cấu tạo</v>
      </c>
      <c r="I19" s="280">
        <f t="shared" si="1"/>
        <v>4.470076067776401</v>
      </c>
      <c r="J19" s="18" t="str">
        <f t="shared" si="4"/>
        <v>Thỏa</v>
      </c>
      <c r="K19" s="18">
        <f t="shared" si="2"/>
        <v>0.8548668022573208</v>
      </c>
      <c r="L19" s="18" t="s">
        <v>167</v>
      </c>
      <c r="M19" s="226"/>
      <c r="N19" s="224"/>
      <c r="O19" s="226"/>
      <c r="P19" s="226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</row>
    <row r="20" spans="1:16" s="180" customFormat="1" ht="15.75">
      <c r="A20" s="269" t="s">
        <v>126</v>
      </c>
      <c r="B20" s="18">
        <f>B19</f>
        <v>3533.05</v>
      </c>
      <c r="C20" s="18"/>
      <c r="D20" s="34">
        <v>25</v>
      </c>
      <c r="E20" s="34">
        <v>35</v>
      </c>
      <c r="F20" s="84">
        <f>B20/($G$6*$C$3*D20*(E20-$H$9)^2)</f>
        <v>0.1861775162739993</v>
      </c>
      <c r="G20" s="84">
        <f t="shared" si="3"/>
        <v>0.20775952675213483</v>
      </c>
      <c r="H20" s="273" t="str">
        <f t="shared" si="0"/>
        <v>Cấu tạo</v>
      </c>
      <c r="I20" s="280">
        <f t="shared" si="1"/>
        <v>4.470076067776401</v>
      </c>
      <c r="J20" s="18" t="str">
        <f t="shared" si="4"/>
        <v>Thỏa</v>
      </c>
      <c r="K20" s="18">
        <f t="shared" si="2"/>
        <v>0.8548668022573208</v>
      </c>
      <c r="L20" s="18" t="s">
        <v>167</v>
      </c>
      <c r="M20" s="226"/>
      <c r="N20" s="224"/>
      <c r="O20" s="226"/>
      <c r="P20" s="226"/>
    </row>
    <row r="21" spans="1:16" s="219" customFormat="1" ht="15.75">
      <c r="A21" s="269"/>
      <c r="B21" s="35"/>
      <c r="C21" s="35">
        <v>2389.32</v>
      </c>
      <c r="D21" s="85">
        <v>25</v>
      </c>
      <c r="E21" s="85">
        <v>35</v>
      </c>
      <c r="F21" s="19">
        <f>C21/($G$6*$C$3*D21*(E21-$H$9)^2)</f>
        <v>0.12590754820446698</v>
      </c>
      <c r="G21" s="84">
        <f t="shared" si="3"/>
        <v>0.13502317742550696</v>
      </c>
      <c r="H21" s="274" t="str">
        <f t="shared" si="0"/>
        <v>Cấu tạo</v>
      </c>
      <c r="I21" s="280">
        <f t="shared" si="1"/>
        <v>2.9051080517956733</v>
      </c>
      <c r="J21" s="18" t="str">
        <f t="shared" si="4"/>
        <v>Thỏa</v>
      </c>
      <c r="K21" s="18">
        <f t="shared" si="2"/>
        <v>0.6561407049899268</v>
      </c>
      <c r="L21" s="18" t="s">
        <v>197</v>
      </c>
      <c r="M21" s="105"/>
      <c r="N21" s="227"/>
      <c r="O21" s="226"/>
      <c r="P21" s="226"/>
    </row>
    <row r="22" spans="1:16" s="180" customFormat="1" ht="15.75">
      <c r="A22" s="269"/>
      <c r="B22" s="18">
        <v>4654.91</v>
      </c>
      <c r="C22" s="18"/>
      <c r="D22" s="34">
        <v>25</v>
      </c>
      <c r="E22" s="34">
        <v>35</v>
      </c>
      <c r="F22" s="84">
        <f>B22/($G$6*$C$3*D22*(E22-$H$9)^2)</f>
        <v>0.2452950233591379</v>
      </c>
      <c r="G22" s="84">
        <f t="shared" si="3"/>
        <v>0.28627039203790616</v>
      </c>
      <c r="H22" s="273" t="str">
        <f t="shared" si="0"/>
        <v>Cấu tạo</v>
      </c>
      <c r="I22" s="280">
        <f t="shared" si="1"/>
        <v>6.159286403690574</v>
      </c>
      <c r="J22" s="18" t="str">
        <f t="shared" si="4"/>
        <v>Thỏa</v>
      </c>
      <c r="K22" s="18">
        <f t="shared" si="2"/>
        <v>1.0693697020559458</v>
      </c>
      <c r="L22" s="18" t="s">
        <v>198</v>
      </c>
      <c r="M22" s="105"/>
      <c r="N22" s="227"/>
      <c r="O22" s="226"/>
      <c r="P22" s="226"/>
    </row>
    <row r="23" spans="1:16" s="180" customFormat="1" ht="15.75">
      <c r="A23" s="269" t="s">
        <v>103</v>
      </c>
      <c r="B23" s="18">
        <f>B22</f>
        <v>4654.91</v>
      </c>
      <c r="C23" s="18"/>
      <c r="D23" s="34">
        <v>25</v>
      </c>
      <c r="E23" s="34">
        <v>35</v>
      </c>
      <c r="F23" s="84">
        <f>B23/($G$6*$C$3*D23*(E23-$H$9)^2)</f>
        <v>0.2452950233591379</v>
      </c>
      <c r="G23" s="84">
        <f t="shared" si="3"/>
        <v>0.28627039203790616</v>
      </c>
      <c r="H23" s="273" t="str">
        <f t="shared" si="0"/>
        <v>Cấu tạo</v>
      </c>
      <c r="I23" s="280">
        <f t="shared" si="1"/>
        <v>6.159286403690574</v>
      </c>
      <c r="J23" s="18" t="str">
        <f t="shared" si="4"/>
        <v>Thỏa</v>
      </c>
      <c r="K23" s="18">
        <f aca="true" t="shared" si="5" ref="K23:K37">(I23+$M$7)/(D23*(E23-$H$9))*100</f>
        <v>1.0693697020559458</v>
      </c>
      <c r="L23" s="18" t="s">
        <v>198</v>
      </c>
      <c r="M23" s="105"/>
      <c r="N23" s="227"/>
      <c r="O23" s="226"/>
      <c r="P23" s="226"/>
    </row>
    <row r="24" spans="1:16" s="180" customFormat="1" ht="15.75">
      <c r="A24" s="269"/>
      <c r="B24" s="88"/>
      <c r="C24" s="85">
        <v>1257.98</v>
      </c>
      <c r="D24" s="85">
        <v>25</v>
      </c>
      <c r="E24" s="85">
        <v>35</v>
      </c>
      <c r="F24" s="87">
        <f>C24/($G$6*$C$3*D24*(E24-$H$9)^2)</f>
        <v>0.0662904832714979</v>
      </c>
      <c r="G24" s="84">
        <f t="shared" si="3"/>
        <v>0.06864666562200772</v>
      </c>
      <c r="H24" s="274" t="str">
        <f t="shared" si="0"/>
        <v>Cấu tạo</v>
      </c>
      <c r="I24" s="280">
        <f t="shared" si="1"/>
        <v>1.4769759150235096</v>
      </c>
      <c r="J24" s="18" t="str">
        <f t="shared" si="4"/>
        <v>Thỏa</v>
      </c>
      <c r="K24" s="18">
        <f t="shared" si="5"/>
        <v>0.47479059238393767</v>
      </c>
      <c r="L24" s="18" t="s">
        <v>134</v>
      </c>
      <c r="M24" s="105"/>
      <c r="N24" s="227"/>
      <c r="O24" s="226"/>
      <c r="P24" s="226"/>
    </row>
    <row r="25" spans="1:12" s="180" customFormat="1" ht="15.75">
      <c r="A25" s="269"/>
      <c r="B25" s="34">
        <v>5414.16</v>
      </c>
      <c r="C25" s="75"/>
      <c r="D25" s="34">
        <v>25</v>
      </c>
      <c r="E25" s="34">
        <v>35</v>
      </c>
      <c r="F25" s="84">
        <f>B25/($G$6*$C$3*D25*(E25-$H$9)^2)</f>
        <v>0.2853044427647602</v>
      </c>
      <c r="G25" s="84">
        <f t="shared" si="3"/>
        <v>0.3447205829033849</v>
      </c>
      <c r="H25" s="273" t="str">
        <f t="shared" si="0"/>
        <v>Cấu tạo</v>
      </c>
      <c r="I25" s="280">
        <f t="shared" si="1"/>
        <v>7.416878791530641</v>
      </c>
      <c r="J25" s="18" t="str">
        <f t="shared" si="4"/>
        <v>Thỏa</v>
      </c>
      <c r="K25" s="18">
        <f t="shared" si="5"/>
        <v>1.2290639735277005</v>
      </c>
      <c r="L25" s="18" t="s">
        <v>199</v>
      </c>
    </row>
    <row r="26" spans="1:12" s="180" customFormat="1" ht="15.75">
      <c r="A26" s="269" t="s">
        <v>104</v>
      </c>
      <c r="B26" s="18">
        <f>B25</f>
        <v>5414.16</v>
      </c>
      <c r="C26" s="18"/>
      <c r="D26" s="34">
        <v>25</v>
      </c>
      <c r="E26" s="34">
        <v>35</v>
      </c>
      <c r="F26" s="84">
        <f>B26/($G$6*$C$3*D26*(E26-$H$9)^2)</f>
        <v>0.2853044427647602</v>
      </c>
      <c r="G26" s="84">
        <f t="shared" si="3"/>
        <v>0.3447205829033849</v>
      </c>
      <c r="H26" s="273" t="str">
        <f t="shared" si="0"/>
        <v>Cấu tạo</v>
      </c>
      <c r="I26" s="280">
        <f t="shared" si="1"/>
        <v>7.416878791530641</v>
      </c>
      <c r="J26" s="18" t="str">
        <f t="shared" si="4"/>
        <v>Thỏa</v>
      </c>
      <c r="K26" s="18">
        <f t="shared" si="5"/>
        <v>1.2290639735277005</v>
      </c>
      <c r="L26" s="18" t="s">
        <v>199</v>
      </c>
    </row>
    <row r="27" spans="1:12" s="180" customFormat="1" ht="15.75">
      <c r="A27" s="269"/>
      <c r="B27" s="18"/>
      <c r="C27" s="85">
        <v>3571.79</v>
      </c>
      <c r="D27" s="85">
        <v>25</v>
      </c>
      <c r="E27" s="85">
        <v>35</v>
      </c>
      <c r="F27" s="87">
        <f>C27/($G$6*$C$3*D27*(E27-$H$9)^2)</f>
        <v>0.1882189583652391</v>
      </c>
      <c r="G27" s="84">
        <f t="shared" si="3"/>
        <v>0.21034052701843575</v>
      </c>
      <c r="H27" s="274" t="str">
        <f t="shared" si="0"/>
        <v>Cấu tạo</v>
      </c>
      <c r="I27" s="280">
        <f t="shared" si="1"/>
        <v>4.525607901631031</v>
      </c>
      <c r="J27" s="18" t="str">
        <f t="shared" si="4"/>
        <v>Thỏa</v>
      </c>
      <c r="K27" s="18">
        <f t="shared" si="5"/>
        <v>0.8619184636991785</v>
      </c>
      <c r="L27" s="18" t="s">
        <v>140</v>
      </c>
    </row>
    <row r="28" spans="1:12" s="180" customFormat="1" ht="15.75">
      <c r="A28" s="269"/>
      <c r="B28" s="18">
        <v>4748.01</v>
      </c>
      <c r="C28" s="18"/>
      <c r="D28" s="34">
        <v>25</v>
      </c>
      <c r="E28" s="34">
        <v>35</v>
      </c>
      <c r="F28" s="84">
        <f>B28/($G$6*$C$3*D28*(E28-$H$9)^2)</f>
        <v>0.25020101867907657</v>
      </c>
      <c r="G28" s="84">
        <f t="shared" si="3"/>
        <v>0.2931775593249413</v>
      </c>
      <c r="H28" s="273" t="str">
        <f t="shared" si="0"/>
        <v>Cấu tạo</v>
      </c>
      <c r="I28" s="280">
        <f t="shared" si="1"/>
        <v>6.3078984248506895</v>
      </c>
      <c r="J28" s="18" t="str">
        <f t="shared" si="4"/>
        <v>Thỏa</v>
      </c>
      <c r="K28" s="18">
        <f t="shared" si="5"/>
        <v>1.0882410698223097</v>
      </c>
      <c r="L28" s="18" t="s">
        <v>198</v>
      </c>
    </row>
    <row r="29" spans="1:12" s="180" customFormat="1" ht="15.75">
      <c r="A29" s="269" t="s">
        <v>105</v>
      </c>
      <c r="B29" s="18">
        <f>B28</f>
        <v>4748.01</v>
      </c>
      <c r="C29" s="18"/>
      <c r="D29" s="34">
        <v>25</v>
      </c>
      <c r="E29" s="34">
        <v>35</v>
      </c>
      <c r="F29" s="84">
        <f>B29/($G$6*$C$3*D29*(E29-$H$9)^2)</f>
        <v>0.25020101867907657</v>
      </c>
      <c r="G29" s="84">
        <f t="shared" si="3"/>
        <v>0.2931775593249413</v>
      </c>
      <c r="H29" s="273" t="str">
        <f t="shared" si="0"/>
        <v>Cấu tạo</v>
      </c>
      <c r="I29" s="280">
        <f t="shared" si="1"/>
        <v>6.3078984248506895</v>
      </c>
      <c r="J29" s="18" t="str">
        <f t="shared" si="4"/>
        <v>Thỏa</v>
      </c>
      <c r="K29" s="18">
        <f t="shared" si="5"/>
        <v>1.0882410698223097</v>
      </c>
      <c r="L29" s="18" t="s">
        <v>198</v>
      </c>
    </row>
    <row r="30" spans="1:12" s="180" customFormat="1" ht="15.75">
      <c r="A30" s="269"/>
      <c r="B30" s="18"/>
      <c r="C30" s="85">
        <v>1749.06</v>
      </c>
      <c r="D30" s="85">
        <v>25</v>
      </c>
      <c r="E30" s="85">
        <v>35</v>
      </c>
      <c r="F30" s="87">
        <f>C30/($G$6*$C$3*D30*(E30-$H$9)^2)</f>
        <v>0.09216842292472545</v>
      </c>
      <c r="G30" s="84">
        <f t="shared" si="3"/>
        <v>0.09685928330600158</v>
      </c>
      <c r="H30" s="274" t="str">
        <f t="shared" si="0"/>
        <v>Cấu tạo</v>
      </c>
      <c r="I30" s="280">
        <f t="shared" si="1"/>
        <v>2.0839880173806904</v>
      </c>
      <c r="J30" s="18" t="str">
        <f t="shared" si="4"/>
        <v>Thỏa</v>
      </c>
      <c r="K30" s="18">
        <f t="shared" si="5"/>
        <v>0.5518714942705639</v>
      </c>
      <c r="L30" s="18" t="s">
        <v>134</v>
      </c>
    </row>
    <row r="31" spans="1:12" s="180" customFormat="1" ht="15.75">
      <c r="A31" s="269"/>
      <c r="B31" s="18">
        <v>2707.27</v>
      </c>
      <c r="C31" s="18"/>
      <c r="D31" s="34">
        <v>25</v>
      </c>
      <c r="E31" s="34">
        <v>35</v>
      </c>
      <c r="F31" s="84">
        <f>B31/($G$6*$C$3*D31*(E31-$H$9)^2)</f>
        <v>0.14266223361772692</v>
      </c>
      <c r="G31" s="84">
        <f t="shared" si="3"/>
        <v>0.15461515700567108</v>
      </c>
      <c r="H31" s="273" t="str">
        <f t="shared" si="0"/>
        <v>Cấu tạo</v>
      </c>
      <c r="I31" s="280">
        <f t="shared" si="1"/>
        <v>3.3266417374501414</v>
      </c>
      <c r="J31" s="18" t="str">
        <f t="shared" si="4"/>
        <v>Thỏa</v>
      </c>
      <c r="K31" s="18">
        <f t="shared" si="5"/>
        <v>0.7096687920571607</v>
      </c>
      <c r="L31" s="18" t="s">
        <v>197</v>
      </c>
    </row>
    <row r="32" spans="1:12" s="180" customFormat="1" ht="15.75">
      <c r="A32" s="269" t="s">
        <v>106</v>
      </c>
      <c r="B32" s="18">
        <f>B31</f>
        <v>2707.27</v>
      </c>
      <c r="C32" s="18"/>
      <c r="D32" s="34">
        <v>25</v>
      </c>
      <c r="E32" s="34">
        <v>35</v>
      </c>
      <c r="F32" s="84">
        <f>B32/($G$6*$C$3*D32*(E32-$H$9)^2)</f>
        <v>0.14266223361772692</v>
      </c>
      <c r="G32" s="84">
        <f t="shared" si="3"/>
        <v>0.15461515700567108</v>
      </c>
      <c r="H32" s="273" t="str">
        <f t="shared" si="0"/>
        <v>Cấu tạo</v>
      </c>
      <c r="I32" s="280">
        <f t="shared" si="1"/>
        <v>3.3266417374501414</v>
      </c>
      <c r="J32" s="18" t="str">
        <f t="shared" si="4"/>
        <v>Thỏa</v>
      </c>
      <c r="K32" s="18">
        <f t="shared" si="5"/>
        <v>0.7096687920571607</v>
      </c>
      <c r="L32" s="18" t="s">
        <v>197</v>
      </c>
    </row>
    <row r="33" spans="1:12" s="180" customFormat="1" ht="15.75">
      <c r="A33" s="269"/>
      <c r="B33" s="18"/>
      <c r="C33" s="85">
        <v>1678.27</v>
      </c>
      <c r="D33" s="85">
        <v>25</v>
      </c>
      <c r="E33" s="85">
        <v>35</v>
      </c>
      <c r="F33" s="87">
        <f>C33/($G$6*$C$3*D33*(E33-$H$9)^2)</f>
        <v>0.08843807481840472</v>
      </c>
      <c r="G33" s="84">
        <f t="shared" si="3"/>
        <v>0.09273826799363427</v>
      </c>
      <c r="H33" s="274" t="str">
        <f t="shared" si="0"/>
        <v>Cấu tạo</v>
      </c>
      <c r="I33" s="280">
        <f t="shared" si="1"/>
        <v>1.9953217973005373</v>
      </c>
      <c r="J33" s="18" t="str">
        <f t="shared" si="4"/>
        <v>Thỏa</v>
      </c>
      <c r="K33" s="18">
        <f t="shared" si="5"/>
        <v>0.5406122917207032</v>
      </c>
      <c r="L33" s="18" t="s">
        <v>134</v>
      </c>
    </row>
    <row r="34" spans="1:12" s="180" customFormat="1" ht="15.75">
      <c r="A34" s="269"/>
      <c r="B34" s="18">
        <v>3964.67</v>
      </c>
      <c r="C34" s="18"/>
      <c r="D34" s="34">
        <v>25</v>
      </c>
      <c r="E34" s="34">
        <v>35</v>
      </c>
      <c r="F34" s="84">
        <f>B34/($G$6*$C$3*D34*(E34-$H$9)^2)</f>
        <v>0.2089221532234293</v>
      </c>
      <c r="G34" s="84">
        <f t="shared" si="3"/>
        <v>0.23700871987083538</v>
      </c>
      <c r="H34" s="273" t="str">
        <f t="shared" si="0"/>
        <v>Cấu tạo</v>
      </c>
      <c r="I34" s="280">
        <f t="shared" si="1"/>
        <v>5.099390738470943</v>
      </c>
      <c r="J34" s="18" t="str">
        <f t="shared" si="4"/>
        <v>Thỏa</v>
      </c>
      <c r="K34" s="18">
        <f t="shared" si="5"/>
        <v>0.9347797763137705</v>
      </c>
      <c r="L34" s="18" t="s">
        <v>140</v>
      </c>
    </row>
    <row r="35" spans="1:12" s="180" customFormat="1" ht="15.75">
      <c r="A35" s="269" t="s">
        <v>132</v>
      </c>
      <c r="B35" s="18">
        <f>B34</f>
        <v>3964.67</v>
      </c>
      <c r="C35" s="18"/>
      <c r="D35" s="34">
        <v>25</v>
      </c>
      <c r="E35" s="34">
        <v>35</v>
      </c>
      <c r="F35" s="84">
        <f>B35/($G$6*$C$3*D35*(E35-$H$9)^2)</f>
        <v>0.2089221532234293</v>
      </c>
      <c r="G35" s="84">
        <f t="shared" si="3"/>
        <v>0.23700871987083538</v>
      </c>
      <c r="H35" s="273" t="str">
        <f t="shared" si="0"/>
        <v>Cấu tạo</v>
      </c>
      <c r="I35" s="280">
        <f t="shared" si="1"/>
        <v>5.099390738470943</v>
      </c>
      <c r="J35" s="18" t="str">
        <f t="shared" si="4"/>
        <v>Thỏa</v>
      </c>
      <c r="K35" s="18">
        <f t="shared" si="5"/>
        <v>0.9347797763137705</v>
      </c>
      <c r="L35" s="18" t="s">
        <v>140</v>
      </c>
    </row>
    <row r="36" spans="1:12" s="180" customFormat="1" ht="15.75">
      <c r="A36" s="269"/>
      <c r="B36" s="18"/>
      <c r="C36" s="85">
        <v>3049.72</v>
      </c>
      <c r="D36" s="85">
        <v>25</v>
      </c>
      <c r="E36" s="85">
        <v>35</v>
      </c>
      <c r="F36" s="87">
        <f>C36/($G$6*$C$3*D36*(E36-$H$9)^2)</f>
        <v>0.16070797043097074</v>
      </c>
      <c r="G36" s="84">
        <f t="shared" si="3"/>
        <v>0.17623786252458862</v>
      </c>
      <c r="H36" s="274" t="str">
        <f t="shared" si="0"/>
        <v>Cấu tạo</v>
      </c>
      <c r="I36" s="280">
        <f t="shared" si="1"/>
        <v>3.791867760880602</v>
      </c>
      <c r="J36" s="18" t="str">
        <f t="shared" si="4"/>
        <v>Thỏa</v>
      </c>
      <c r="K36" s="18">
        <f t="shared" si="5"/>
        <v>0.7687451124927749</v>
      </c>
      <c r="L36" s="18" t="s">
        <v>196</v>
      </c>
    </row>
    <row r="37" spans="1:12" s="180" customFormat="1" ht="15.75">
      <c r="A37" s="269"/>
      <c r="B37" s="18">
        <v>0</v>
      </c>
      <c r="C37" s="18"/>
      <c r="D37" s="34">
        <v>25</v>
      </c>
      <c r="E37" s="34">
        <v>35</v>
      </c>
      <c r="F37" s="86">
        <f>B37/($G$6*$C$3*D37*(E37-$H$9)^2)</f>
        <v>0</v>
      </c>
      <c r="G37" s="86">
        <f t="shared" si="3"/>
        <v>0</v>
      </c>
      <c r="H37" s="273" t="str">
        <f t="shared" si="0"/>
        <v>Cấu tạo</v>
      </c>
      <c r="I37" s="280">
        <f t="shared" si="1"/>
        <v>0</v>
      </c>
      <c r="J37" s="18" t="str">
        <f t="shared" si="4"/>
        <v>Thỏa</v>
      </c>
      <c r="K37" s="18">
        <f t="shared" si="5"/>
        <v>0.28723809523809524</v>
      </c>
      <c r="L37" s="18" t="s">
        <v>134</v>
      </c>
    </row>
    <row r="38" spans="1:12" ht="18.75">
      <c r="A38" s="91" t="s">
        <v>136</v>
      </c>
      <c r="B38" s="75" t="s">
        <v>361</v>
      </c>
      <c r="C38" s="75" t="s">
        <v>360</v>
      </c>
      <c r="D38" s="212" t="s">
        <v>7</v>
      </c>
      <c r="E38" s="212" t="s">
        <v>8</v>
      </c>
      <c r="F38" s="80" t="s">
        <v>133</v>
      </c>
      <c r="G38" s="81" t="s">
        <v>29</v>
      </c>
      <c r="H38" s="272" t="s">
        <v>39</v>
      </c>
      <c r="I38" s="278" t="s">
        <v>24</v>
      </c>
      <c r="J38" s="18" t="s">
        <v>37</v>
      </c>
      <c r="K38" s="80" t="s">
        <v>30</v>
      </c>
      <c r="L38" s="106" t="s">
        <v>41</v>
      </c>
    </row>
    <row r="39" spans="1:12" ht="15.75">
      <c r="A39" s="269" t="s">
        <v>98</v>
      </c>
      <c r="B39" s="18">
        <v>0</v>
      </c>
      <c r="C39" s="18"/>
      <c r="D39" s="34">
        <v>25</v>
      </c>
      <c r="E39" s="34">
        <v>35</v>
      </c>
      <c r="F39" s="19">
        <f>B39/($G$6*$C$3*D39*(E39-$H$9)^2)</f>
        <v>0</v>
      </c>
      <c r="G39" s="19">
        <f>1-SQRT(1-2*F39)</f>
        <v>0</v>
      </c>
      <c r="H39" s="273" t="str">
        <f aca="true" t="shared" si="6" ref="H39:H65">IF(F39&gt;$J$9,(B39-($J$9*$G$6*$C$3*D39*(E39-$H$9)^2))/($P$4*(E39-$H$7)),"Cấu tạo")</f>
        <v>Cấu tạo</v>
      </c>
      <c r="I39" s="279">
        <f aca="true" t="shared" si="7" ref="I39:I65">IF(F39&lt;=$J$9,(G39*$G$6*$C$3*D39*(E39-$H$9))/$P$3,($J$9*$G$6*$C$3*D39*(E39-$H$9))/$P$3+(($P$4*$M$7)/$P$3))</f>
        <v>0</v>
      </c>
      <c r="J39" s="18" t="str">
        <f t="shared" si="4"/>
        <v>Thỏa</v>
      </c>
      <c r="K39" s="18">
        <f aca="true" t="shared" si="8" ref="K39:K65">(I39+$M$7)/(D39*(E39-$H$9))*100</f>
        <v>0.28723809523809524</v>
      </c>
      <c r="L39" s="93" t="s">
        <v>134</v>
      </c>
    </row>
    <row r="40" spans="1:12" ht="15.75">
      <c r="A40" s="269"/>
      <c r="B40" s="35"/>
      <c r="C40" s="155">
        <v>2931.52</v>
      </c>
      <c r="D40" s="85">
        <v>25</v>
      </c>
      <c r="E40" s="85">
        <v>35</v>
      </c>
      <c r="F40" s="87">
        <f>C40/($G$6*$C$3*D40*(E40-$H$9)^2)</f>
        <v>0.15447930612574248</v>
      </c>
      <c r="G40" s="84">
        <f aca="true" t="shared" si="9" ref="G40:G65">1-SQRT(1-2*F40)</f>
        <v>0.1687110082838128</v>
      </c>
      <c r="H40" s="273" t="str">
        <f t="shared" si="6"/>
        <v>Cấu tạo</v>
      </c>
      <c r="I40" s="279">
        <f t="shared" si="7"/>
        <v>3.6299227876064095</v>
      </c>
      <c r="J40" s="18" t="str">
        <f t="shared" si="4"/>
        <v>Thỏa</v>
      </c>
      <c r="K40" s="18">
        <f t="shared" si="8"/>
        <v>0.7481806714420838</v>
      </c>
      <c r="L40" s="18" t="s">
        <v>196</v>
      </c>
    </row>
    <row r="41" spans="1:12" ht="15.75">
      <c r="A41" s="269"/>
      <c r="B41" s="86">
        <v>3917.97</v>
      </c>
      <c r="C41" s="18"/>
      <c r="D41" s="34">
        <v>25</v>
      </c>
      <c r="E41" s="34">
        <v>35</v>
      </c>
      <c r="F41" s="84">
        <f>B41/($G$6*$C$3*D41*(E41-$H$9)^2)</f>
        <v>0.2064612511671335</v>
      </c>
      <c r="G41" s="84">
        <f t="shared" si="9"/>
        <v>0.2337901738650614</v>
      </c>
      <c r="H41" s="273" t="str">
        <f t="shared" si="6"/>
        <v>Cấu tạo</v>
      </c>
      <c r="I41" s="279">
        <f t="shared" si="7"/>
        <v>5.030141709565462</v>
      </c>
      <c r="J41" s="18" t="str">
        <f t="shared" si="4"/>
        <v>Thỏa</v>
      </c>
      <c r="K41" s="18">
        <f t="shared" si="8"/>
        <v>0.9259862488337094</v>
      </c>
      <c r="L41" s="18" t="s">
        <v>140</v>
      </c>
    </row>
    <row r="42" spans="1:14" ht="16.5">
      <c r="A42" s="269" t="s">
        <v>102</v>
      </c>
      <c r="B42" s="86">
        <f>B41</f>
        <v>3917.97</v>
      </c>
      <c r="C42" s="18"/>
      <c r="D42" s="34">
        <v>25</v>
      </c>
      <c r="E42" s="34">
        <v>35</v>
      </c>
      <c r="F42" s="84">
        <f>B42/($G$6*$C$3*D42*(E42-$H$9)^2)</f>
        <v>0.2064612511671335</v>
      </c>
      <c r="G42" s="84">
        <f>1-SQRT(1-2*F42)</f>
        <v>0.2337901738650614</v>
      </c>
      <c r="H42" s="273" t="str">
        <f t="shared" si="6"/>
        <v>Cấu tạo</v>
      </c>
      <c r="I42" s="279">
        <f t="shared" si="7"/>
        <v>5.030141709565462</v>
      </c>
      <c r="J42" s="18" t="str">
        <f t="shared" si="4"/>
        <v>Thỏa</v>
      </c>
      <c r="K42" s="89">
        <f t="shared" si="8"/>
        <v>0.9259862488337094</v>
      </c>
      <c r="L42" s="18" t="s">
        <v>140</v>
      </c>
      <c r="M42" s="76"/>
      <c r="N42" s="76"/>
    </row>
    <row r="43" spans="1:14" ht="16.5">
      <c r="A43" s="269"/>
      <c r="B43" s="35"/>
      <c r="C43" s="35">
        <v>1764.63</v>
      </c>
      <c r="D43" s="85">
        <v>25</v>
      </c>
      <c r="E43" s="85">
        <v>35</v>
      </c>
      <c r="F43" s="87">
        <f>C43/($G$6*$C$3*D43*(E43-$H$9)^2)</f>
        <v>0.09298889926340907</v>
      </c>
      <c r="G43" s="84">
        <f t="shared" si="9"/>
        <v>0.09776821078329223</v>
      </c>
      <c r="H43" s="274" t="str">
        <f t="shared" si="6"/>
        <v>Cấu tạo</v>
      </c>
      <c r="I43" s="279">
        <f t="shared" si="7"/>
        <v>2.1035441601342715</v>
      </c>
      <c r="J43" s="18" t="str">
        <f t="shared" si="4"/>
        <v>Thỏa</v>
      </c>
      <c r="K43" s="89">
        <f t="shared" si="8"/>
        <v>0.5543548139853044</v>
      </c>
      <c r="L43" s="93" t="s">
        <v>134</v>
      </c>
      <c r="M43" s="76"/>
      <c r="N43" s="76"/>
    </row>
    <row r="44" spans="1:14" ht="16.5">
      <c r="A44" s="269"/>
      <c r="B44" s="18">
        <v>3468.94</v>
      </c>
      <c r="C44" s="18"/>
      <c r="D44" s="34">
        <v>25</v>
      </c>
      <c r="E44" s="34">
        <v>35</v>
      </c>
      <c r="F44" s="84">
        <f>B44/($G$6*$C$3*D44*(E44-$H$9)^2)</f>
        <v>0.18279917728408235</v>
      </c>
      <c r="G44" s="84">
        <f t="shared" si="9"/>
        <v>0.20350665700720683</v>
      </c>
      <c r="H44" s="273" t="str">
        <f t="shared" si="6"/>
        <v>Cấu tạo</v>
      </c>
      <c r="I44" s="279">
        <f t="shared" si="7"/>
        <v>4.378572917170684</v>
      </c>
      <c r="J44" s="18" t="str">
        <f t="shared" si="4"/>
        <v>Thỏa</v>
      </c>
      <c r="K44" s="89">
        <f t="shared" si="8"/>
        <v>0.8432473545613568</v>
      </c>
      <c r="L44" s="93" t="s">
        <v>142</v>
      </c>
      <c r="M44" s="76"/>
      <c r="N44" s="76"/>
    </row>
    <row r="45" spans="1:14" ht="16.5">
      <c r="A45" s="269" t="s">
        <v>125</v>
      </c>
      <c r="B45" s="18">
        <f>B44</f>
        <v>3468.94</v>
      </c>
      <c r="C45" s="18"/>
      <c r="D45" s="34">
        <v>25</v>
      </c>
      <c r="E45" s="34">
        <v>35</v>
      </c>
      <c r="F45" s="84">
        <f>B45/($G$6*$C$3*D45*(E45-$H$9)^2)</f>
        <v>0.18279917728408235</v>
      </c>
      <c r="G45" s="84">
        <f t="shared" si="9"/>
        <v>0.20350665700720683</v>
      </c>
      <c r="H45" s="273" t="str">
        <f t="shared" si="6"/>
        <v>Cấu tạo</v>
      </c>
      <c r="I45" s="279">
        <f t="shared" si="7"/>
        <v>4.378572917170684</v>
      </c>
      <c r="J45" s="18" t="str">
        <f t="shared" si="4"/>
        <v>Thỏa</v>
      </c>
      <c r="K45" s="89">
        <f t="shared" si="8"/>
        <v>0.8432473545613568</v>
      </c>
      <c r="L45" s="93" t="s">
        <v>142</v>
      </c>
      <c r="M45" s="76"/>
      <c r="N45" s="76"/>
    </row>
    <row r="46" spans="1:14" ht="16.5">
      <c r="A46" s="269"/>
      <c r="B46" s="35"/>
      <c r="C46" s="35">
        <v>2522.15</v>
      </c>
      <c r="D46" s="85">
        <v>25</v>
      </c>
      <c r="E46" s="85">
        <v>35</v>
      </c>
      <c r="F46" s="87">
        <f>C46/($G$6*$C$3*D46*(E46-$H$9)^2)</f>
        <v>0.13290715463139988</v>
      </c>
      <c r="G46" s="84">
        <f t="shared" si="9"/>
        <v>0.14315363644513246</v>
      </c>
      <c r="H46" s="274" t="str">
        <f t="shared" si="6"/>
        <v>Cấu tạo</v>
      </c>
      <c r="I46" s="279">
        <f t="shared" si="7"/>
        <v>3.080039959139803</v>
      </c>
      <c r="J46" s="18" t="str">
        <f t="shared" si="4"/>
        <v>Thỏa</v>
      </c>
      <c r="K46" s="89">
        <f t="shared" si="8"/>
        <v>0.6783542805256892</v>
      </c>
      <c r="L46" s="93" t="s">
        <v>197</v>
      </c>
      <c r="M46" s="76"/>
      <c r="N46" s="76"/>
    </row>
    <row r="47" spans="1:14" ht="16.5">
      <c r="A47" s="269"/>
      <c r="B47" s="18">
        <v>3635.68</v>
      </c>
      <c r="C47" s="18"/>
      <c r="D47" s="34">
        <v>25</v>
      </c>
      <c r="E47" s="34">
        <v>35</v>
      </c>
      <c r="F47" s="84">
        <f>B47/($G$6*$C$3*D47*(E47-$H$9)^2)</f>
        <v>0.19158570424054394</v>
      </c>
      <c r="G47" s="84">
        <f t="shared" si="9"/>
        <v>0.21461564090000362</v>
      </c>
      <c r="H47" s="273" t="str">
        <f t="shared" si="6"/>
        <v>Cấu tạo</v>
      </c>
      <c r="I47" s="279">
        <f t="shared" si="7"/>
        <v>4.61758964873914</v>
      </c>
      <c r="J47" s="18" t="str">
        <f t="shared" si="4"/>
        <v>Thỏa</v>
      </c>
      <c r="K47" s="89">
        <f t="shared" si="8"/>
        <v>0.8735986855541765</v>
      </c>
      <c r="L47" s="93" t="s">
        <v>135</v>
      </c>
      <c r="M47" s="76"/>
      <c r="N47" s="76"/>
    </row>
    <row r="48" spans="1:14" ht="16.5">
      <c r="A48" s="269" t="s">
        <v>126</v>
      </c>
      <c r="B48" s="18">
        <f>B47</f>
        <v>3635.68</v>
      </c>
      <c r="C48" s="18"/>
      <c r="D48" s="34">
        <v>25</v>
      </c>
      <c r="E48" s="34">
        <v>35</v>
      </c>
      <c r="F48" s="84">
        <f>B48/($G$6*$C$3*D48*(E48-$H$9)^2)</f>
        <v>0.19158570424054394</v>
      </c>
      <c r="G48" s="84">
        <f t="shared" si="9"/>
        <v>0.21461564090000362</v>
      </c>
      <c r="H48" s="273" t="str">
        <f t="shared" si="6"/>
        <v>Cấu tạo</v>
      </c>
      <c r="I48" s="279">
        <f t="shared" si="7"/>
        <v>4.61758964873914</v>
      </c>
      <c r="J48" s="18" t="str">
        <f t="shared" si="4"/>
        <v>Thỏa</v>
      </c>
      <c r="K48" s="89">
        <f t="shared" si="8"/>
        <v>0.8735986855541765</v>
      </c>
      <c r="L48" s="93" t="s">
        <v>135</v>
      </c>
      <c r="M48" s="76"/>
      <c r="N48" s="76"/>
    </row>
    <row r="49" spans="1:14" ht="16.5">
      <c r="A49" s="269"/>
      <c r="B49" s="35"/>
      <c r="C49" s="35">
        <v>2391.1</v>
      </c>
      <c r="D49" s="85">
        <v>25</v>
      </c>
      <c r="E49" s="85">
        <v>35</v>
      </c>
      <c r="F49" s="87">
        <f>C49/($G$6*$C$3*D49*(E49-$H$9)^2)</f>
        <v>0.12600134704087396</v>
      </c>
      <c r="G49" s="84">
        <f t="shared" si="9"/>
        <v>0.13513162509070087</v>
      </c>
      <c r="H49" s="274" t="str">
        <f t="shared" si="6"/>
        <v>Cấu tạo</v>
      </c>
      <c r="I49" s="279">
        <f t="shared" si="7"/>
        <v>2.9074413710921108</v>
      </c>
      <c r="J49" s="18" t="str">
        <f t="shared" si="4"/>
        <v>Thỏa</v>
      </c>
      <c r="K49" s="89">
        <f t="shared" si="8"/>
        <v>0.6564369995037601</v>
      </c>
      <c r="L49" s="93" t="s">
        <v>197</v>
      </c>
      <c r="M49" s="76"/>
      <c r="N49" s="76"/>
    </row>
    <row r="50" spans="1:14" ht="16.5">
      <c r="A50" s="269"/>
      <c r="B50" s="18">
        <v>3913.16</v>
      </c>
      <c r="C50" s="18"/>
      <c r="D50" s="34">
        <v>25</v>
      </c>
      <c r="E50" s="34">
        <v>35</v>
      </c>
      <c r="F50" s="84">
        <f>B50/($G$6*$C$3*D50*(E50-$H$9)^2)</f>
        <v>0.2062077835249326</v>
      </c>
      <c r="G50" s="84">
        <f t="shared" si="9"/>
        <v>0.23345943815729187</v>
      </c>
      <c r="H50" s="273" t="str">
        <f t="shared" si="6"/>
        <v>Cấu tạo</v>
      </c>
      <c r="I50" s="279">
        <f t="shared" si="7"/>
        <v>5.023025724102983</v>
      </c>
      <c r="J50" s="18" t="str">
        <f t="shared" si="4"/>
        <v>Thỏa</v>
      </c>
      <c r="K50" s="89">
        <f t="shared" si="8"/>
        <v>0.9250826316321249</v>
      </c>
      <c r="L50" s="18" t="s">
        <v>140</v>
      </c>
      <c r="M50" s="76"/>
      <c r="N50" s="76"/>
    </row>
    <row r="51" spans="1:12" ht="15.75">
      <c r="A51" s="269" t="s">
        <v>103</v>
      </c>
      <c r="B51" s="18">
        <f>B50</f>
        <v>3913.16</v>
      </c>
      <c r="C51" s="18"/>
      <c r="D51" s="34">
        <v>25</v>
      </c>
      <c r="E51" s="34">
        <v>35</v>
      </c>
      <c r="F51" s="84">
        <f>B51/($G$6*$C$3*D51*(E51-$H$9)^2)</f>
        <v>0.2062077835249326</v>
      </c>
      <c r="G51" s="84">
        <f t="shared" si="9"/>
        <v>0.23345943815729187</v>
      </c>
      <c r="H51" s="273" t="str">
        <f t="shared" si="6"/>
        <v>Cấu tạo</v>
      </c>
      <c r="I51" s="279">
        <f t="shared" si="7"/>
        <v>5.023025724102983</v>
      </c>
      <c r="J51" s="18" t="str">
        <f t="shared" si="4"/>
        <v>Thỏa</v>
      </c>
      <c r="K51" s="18">
        <f t="shared" si="8"/>
        <v>0.9250826316321249</v>
      </c>
      <c r="L51" s="18" t="s">
        <v>140</v>
      </c>
    </row>
    <row r="52" spans="1:12" ht="15.75">
      <c r="A52" s="269"/>
      <c r="B52" s="88"/>
      <c r="C52" s="85">
        <v>2450.91</v>
      </c>
      <c r="D52" s="85">
        <v>25</v>
      </c>
      <c r="E52" s="85">
        <v>35</v>
      </c>
      <c r="F52" s="87">
        <f>C52/($G$6*$C$3*D52*(E52-$H$9)^2)</f>
        <v>0.12915309333609987</v>
      </c>
      <c r="G52" s="84">
        <f t="shared" si="9"/>
        <v>0.13878352702250274</v>
      </c>
      <c r="H52" s="274" t="str">
        <f t="shared" si="6"/>
        <v>Cấu tạo</v>
      </c>
      <c r="I52" s="279">
        <f t="shared" si="7"/>
        <v>2.986014323593536</v>
      </c>
      <c r="J52" s="18" t="str">
        <f t="shared" si="4"/>
        <v>Thỏa</v>
      </c>
      <c r="K52" s="18">
        <f t="shared" si="8"/>
        <v>0.6664145172817189</v>
      </c>
      <c r="L52" s="93" t="s">
        <v>197</v>
      </c>
    </row>
    <row r="53" spans="1:12" ht="15.75">
      <c r="A53" s="269"/>
      <c r="B53" s="34">
        <v>3368.48</v>
      </c>
      <c r="C53" s="75"/>
      <c r="D53" s="34">
        <v>25</v>
      </c>
      <c r="E53" s="34">
        <v>35</v>
      </c>
      <c r="F53" s="84">
        <f>B53/($G$6*$C$3*D53*(E53-$H$9)^2)</f>
        <v>0.17750533958439343</v>
      </c>
      <c r="G53" s="84">
        <f t="shared" si="9"/>
        <v>0.19688772837715074</v>
      </c>
      <c r="H53" s="273" t="str">
        <f t="shared" si="6"/>
        <v>Cấu tạo</v>
      </c>
      <c r="I53" s="279">
        <f t="shared" si="7"/>
        <v>4.236162530864634</v>
      </c>
      <c r="J53" s="18" t="str">
        <f t="shared" si="4"/>
        <v>Thỏa</v>
      </c>
      <c r="K53" s="18">
        <f t="shared" si="8"/>
        <v>0.8251634959828108</v>
      </c>
      <c r="L53" s="93" t="s">
        <v>135</v>
      </c>
    </row>
    <row r="54" spans="1:12" ht="15.75">
      <c r="A54" s="269" t="s">
        <v>104</v>
      </c>
      <c r="B54" s="18">
        <f>B53</f>
        <v>3368.48</v>
      </c>
      <c r="C54" s="18"/>
      <c r="D54" s="34">
        <v>25</v>
      </c>
      <c r="E54" s="34">
        <v>35</v>
      </c>
      <c r="F54" s="84">
        <f>B54/($G$6*$C$3*D54*(E54-$H$9)^2)</f>
        <v>0.17750533958439343</v>
      </c>
      <c r="G54" s="84">
        <f t="shared" si="9"/>
        <v>0.19688772837715074</v>
      </c>
      <c r="H54" s="273" t="str">
        <f t="shared" si="6"/>
        <v>Cấu tạo</v>
      </c>
      <c r="I54" s="279">
        <f t="shared" si="7"/>
        <v>4.236162530864634</v>
      </c>
      <c r="J54" s="18" t="str">
        <f t="shared" si="4"/>
        <v>Thỏa</v>
      </c>
      <c r="K54" s="18">
        <f t="shared" si="8"/>
        <v>0.8251634959828108</v>
      </c>
      <c r="L54" s="93" t="s">
        <v>135</v>
      </c>
    </row>
    <row r="55" spans="1:12" ht="15.75">
      <c r="A55" s="269"/>
      <c r="B55" s="18"/>
      <c r="C55" s="85">
        <v>1828.93</v>
      </c>
      <c r="D55" s="85">
        <v>25</v>
      </c>
      <c r="E55" s="85">
        <v>35</v>
      </c>
      <c r="F55" s="87">
        <f>C55/($G$6*$C$3*D55*(E55-$H$9)^2)</f>
        <v>0.09637725048867284</v>
      </c>
      <c r="G55" s="84">
        <f t="shared" si="9"/>
        <v>0.1015315815107054</v>
      </c>
      <c r="H55" s="274" t="str">
        <f t="shared" si="6"/>
        <v>Cấu tạo</v>
      </c>
      <c r="I55" s="279">
        <f t="shared" si="7"/>
        <v>2.184515433441271</v>
      </c>
      <c r="J55" s="18" t="str">
        <f t="shared" si="4"/>
        <v>Thỏa</v>
      </c>
      <c r="K55" s="18">
        <f t="shared" si="8"/>
        <v>0.5646368804369868</v>
      </c>
      <c r="L55" s="93" t="s">
        <v>134</v>
      </c>
    </row>
    <row r="56" spans="1:12" ht="15.75">
      <c r="A56" s="269"/>
      <c r="B56" s="18">
        <v>3330.76</v>
      </c>
      <c r="C56" s="18"/>
      <c r="D56" s="34">
        <v>25</v>
      </c>
      <c r="E56" s="34">
        <v>35</v>
      </c>
      <c r="F56" s="84">
        <f>B56/($G$6*$C$3*D56*(E56-$H$9)^2)</f>
        <v>0.17551764738817338</v>
      </c>
      <c r="G56" s="84">
        <f t="shared" si="9"/>
        <v>0.19441654360106597</v>
      </c>
      <c r="H56" s="273" t="str">
        <f t="shared" si="6"/>
        <v>Cấu tạo</v>
      </c>
      <c r="I56" s="279">
        <f t="shared" si="7"/>
        <v>4.1829934459166855</v>
      </c>
      <c r="J56" s="18" t="str">
        <f t="shared" si="4"/>
        <v>Thỏa</v>
      </c>
      <c r="K56" s="18">
        <f t="shared" si="8"/>
        <v>0.8184118661481505</v>
      </c>
      <c r="L56" s="93" t="s">
        <v>135</v>
      </c>
    </row>
    <row r="57" spans="1:12" ht="15.75">
      <c r="A57" s="269" t="s">
        <v>105</v>
      </c>
      <c r="B57" s="18">
        <f>B56</f>
        <v>3330.76</v>
      </c>
      <c r="C57" s="18"/>
      <c r="D57" s="34">
        <v>25</v>
      </c>
      <c r="E57" s="34">
        <v>35</v>
      </c>
      <c r="F57" s="84">
        <f>B57/($G$6*$C$3*D57*(E57-$H$9)^2)</f>
        <v>0.17551764738817338</v>
      </c>
      <c r="G57" s="84">
        <f t="shared" si="9"/>
        <v>0.19441654360106597</v>
      </c>
      <c r="H57" s="273" t="str">
        <f t="shared" si="6"/>
        <v>Cấu tạo</v>
      </c>
      <c r="I57" s="279">
        <f t="shared" si="7"/>
        <v>4.1829934459166855</v>
      </c>
      <c r="J57" s="18" t="str">
        <f t="shared" si="4"/>
        <v>Thỏa</v>
      </c>
      <c r="K57" s="18">
        <f t="shared" si="8"/>
        <v>0.8184118661481505</v>
      </c>
      <c r="L57" s="93" t="s">
        <v>196</v>
      </c>
    </row>
    <row r="58" spans="1:12" ht="15.75">
      <c r="A58" s="269"/>
      <c r="B58" s="18"/>
      <c r="C58" s="85">
        <v>2851.39</v>
      </c>
      <c r="D58" s="85">
        <v>25</v>
      </c>
      <c r="E58" s="85">
        <v>35</v>
      </c>
      <c r="F58" s="87">
        <f>C58/($G$6*$C$3*D58*(E58-$H$9)^2)</f>
        <v>0.1502567776081626</v>
      </c>
      <c r="G58" s="84">
        <f t="shared" si="9"/>
        <v>0.16364693772087202</v>
      </c>
      <c r="H58" s="274" t="str">
        <f t="shared" si="6"/>
        <v>Cấu tạo</v>
      </c>
      <c r="I58" s="279">
        <f t="shared" si="7"/>
        <v>3.5209661444006373</v>
      </c>
      <c r="J58" s="18" t="str">
        <f t="shared" si="4"/>
        <v>Thỏa</v>
      </c>
      <c r="K58" s="18">
        <f t="shared" si="8"/>
        <v>0.7343449072254777</v>
      </c>
      <c r="L58" s="93" t="s">
        <v>200</v>
      </c>
    </row>
    <row r="59" spans="1:12" ht="15.75">
      <c r="A59" s="269"/>
      <c r="B59" s="18">
        <v>3890.47</v>
      </c>
      <c r="C59" s="18"/>
      <c r="D59" s="34">
        <v>25</v>
      </c>
      <c r="E59" s="34">
        <v>35</v>
      </c>
      <c r="F59" s="84">
        <f>B59/($G$6*$C$3*D59*(E59-$H$9)^2)</f>
        <v>0.20501211184062101</v>
      </c>
      <c r="G59" s="84">
        <f t="shared" si="9"/>
        <v>0.23190119364839656</v>
      </c>
      <c r="H59" s="273" t="str">
        <f t="shared" si="6"/>
        <v>Cấu tạo</v>
      </c>
      <c r="I59" s="279">
        <f t="shared" si="7"/>
        <v>4.989499119591282</v>
      </c>
      <c r="J59" s="18" t="str">
        <f t="shared" si="4"/>
        <v>Thỏa</v>
      </c>
      <c r="K59" s="18">
        <f t="shared" si="8"/>
        <v>0.9208252850274644</v>
      </c>
      <c r="L59" s="18" t="s">
        <v>140</v>
      </c>
    </row>
    <row r="60" spans="1:12" ht="15.75">
      <c r="A60" s="269" t="s">
        <v>106</v>
      </c>
      <c r="B60" s="18">
        <f>B59</f>
        <v>3890.47</v>
      </c>
      <c r="C60" s="18"/>
      <c r="D60" s="34">
        <v>25</v>
      </c>
      <c r="E60" s="34">
        <v>35</v>
      </c>
      <c r="F60" s="84">
        <f>B60/($G$6*$C$3*D60*(E60-$H$9)^2)</f>
        <v>0.20501211184062101</v>
      </c>
      <c r="G60" s="84">
        <f t="shared" si="9"/>
        <v>0.23190119364839656</v>
      </c>
      <c r="H60" s="273" t="str">
        <f t="shared" si="6"/>
        <v>Cấu tạo</v>
      </c>
      <c r="I60" s="279">
        <f t="shared" si="7"/>
        <v>4.989499119591282</v>
      </c>
      <c r="J60" s="18" t="str">
        <f t="shared" si="4"/>
        <v>Thỏa</v>
      </c>
      <c r="K60" s="18">
        <f t="shared" si="8"/>
        <v>0.9208252850274644</v>
      </c>
      <c r="L60" s="18" t="s">
        <v>140</v>
      </c>
    </row>
    <row r="61" spans="1:12" ht="15.75">
      <c r="A61" s="269"/>
      <c r="B61" s="18"/>
      <c r="C61" s="85">
        <v>1910.11</v>
      </c>
      <c r="D61" s="85">
        <v>25</v>
      </c>
      <c r="E61" s="85">
        <v>35</v>
      </c>
      <c r="F61" s="87">
        <f>C61/($G$6*$C$3*D61*(E61-$H$9)^2)</f>
        <v>0.10065510978053772</v>
      </c>
      <c r="G61" s="84">
        <f t="shared" si="9"/>
        <v>0.10630554413774917</v>
      </c>
      <c r="H61" s="274" t="str">
        <f t="shared" si="6"/>
        <v>Cấu tạo</v>
      </c>
      <c r="I61" s="279">
        <f t="shared" si="7"/>
        <v>2.2872302230887596</v>
      </c>
      <c r="J61" s="18" t="str">
        <f t="shared" si="4"/>
        <v>Thỏa</v>
      </c>
      <c r="K61" s="18">
        <f t="shared" si="8"/>
        <v>0.5776800283287314</v>
      </c>
      <c r="L61" s="93" t="s">
        <v>197</v>
      </c>
    </row>
    <row r="62" spans="1:12" ht="15.75">
      <c r="A62" s="269"/>
      <c r="B62" s="18">
        <v>3149.49</v>
      </c>
      <c r="C62" s="18"/>
      <c r="D62" s="34">
        <v>25</v>
      </c>
      <c r="E62" s="34">
        <v>35</v>
      </c>
      <c r="F62" s="84">
        <f>B62/($G$6*$C$3*D62*(E62-$H$9)^2)</f>
        <v>0.16596544790755807</v>
      </c>
      <c r="G62" s="84">
        <f t="shared" si="9"/>
        <v>0.18264505618129168</v>
      </c>
      <c r="H62" s="273" t="str">
        <f t="shared" si="6"/>
        <v>Cấu tạo</v>
      </c>
      <c r="I62" s="279">
        <f t="shared" si="7"/>
        <v>3.9297225369006035</v>
      </c>
      <c r="J62" s="18" t="str">
        <f t="shared" si="4"/>
        <v>Thỏa</v>
      </c>
      <c r="K62" s="18">
        <f t="shared" si="8"/>
        <v>0.786250480876267</v>
      </c>
      <c r="L62" s="93" t="s">
        <v>167</v>
      </c>
    </row>
    <row r="63" spans="1:12" ht="15.75">
      <c r="A63" s="269" t="s">
        <v>132</v>
      </c>
      <c r="B63" s="18">
        <f>B62</f>
        <v>3149.49</v>
      </c>
      <c r="C63" s="18"/>
      <c r="D63" s="34">
        <v>25</v>
      </c>
      <c r="E63" s="34">
        <v>35</v>
      </c>
      <c r="F63" s="84">
        <f>B63/($G$6*$C$3*D63*(E63-$H$9)^2)</f>
        <v>0.16596544790755807</v>
      </c>
      <c r="G63" s="84">
        <f t="shared" si="9"/>
        <v>0.18264505618129168</v>
      </c>
      <c r="H63" s="273" t="str">
        <f t="shared" si="6"/>
        <v>Cấu tạo</v>
      </c>
      <c r="I63" s="279">
        <f t="shared" si="7"/>
        <v>3.9297225369006035</v>
      </c>
      <c r="J63" s="18" t="str">
        <f t="shared" si="4"/>
        <v>Thỏa</v>
      </c>
      <c r="K63" s="18">
        <f t="shared" si="8"/>
        <v>0.786250480876267</v>
      </c>
      <c r="L63" s="93" t="s">
        <v>167</v>
      </c>
    </row>
    <row r="64" spans="1:12" ht="15.75">
      <c r="A64" s="269"/>
      <c r="B64" s="18"/>
      <c r="C64" s="85">
        <v>1950.5</v>
      </c>
      <c r="D64" s="85">
        <v>25</v>
      </c>
      <c r="E64" s="85">
        <v>35</v>
      </c>
      <c r="F64" s="87">
        <f>C64/($G$6*$C$3*D64*(E64-$H$9)^2)</f>
        <v>0.10278350023136827</v>
      </c>
      <c r="G64" s="84">
        <f t="shared" si="9"/>
        <v>0.10869028977730566</v>
      </c>
      <c r="H64" s="274" t="str">
        <f t="shared" si="6"/>
        <v>Cấu tạo</v>
      </c>
      <c r="I64" s="279">
        <f t="shared" si="7"/>
        <v>2.3385395159898423</v>
      </c>
      <c r="J64" s="18" t="str">
        <f t="shared" si="4"/>
        <v>Thỏa</v>
      </c>
      <c r="K64" s="18">
        <f t="shared" si="8"/>
        <v>0.5841954940939482</v>
      </c>
      <c r="L64" s="93" t="s">
        <v>197</v>
      </c>
    </row>
    <row r="65" spans="1:12" ht="15.75">
      <c r="A65" s="269"/>
      <c r="B65" s="18">
        <v>0</v>
      </c>
      <c r="C65" s="18"/>
      <c r="D65" s="34">
        <v>25</v>
      </c>
      <c r="E65" s="34">
        <v>35</v>
      </c>
      <c r="F65" s="86">
        <f>B65/($G$6*$C$3*D65*(E65-$H$9)^2)</f>
        <v>0</v>
      </c>
      <c r="G65" s="86">
        <f t="shared" si="9"/>
        <v>0</v>
      </c>
      <c r="H65" s="273" t="str">
        <f t="shared" si="6"/>
        <v>Cấu tạo</v>
      </c>
      <c r="I65" s="279">
        <f t="shared" si="7"/>
        <v>0</v>
      </c>
      <c r="J65" s="18" t="str">
        <f t="shared" si="4"/>
        <v>Thỏa</v>
      </c>
      <c r="K65" s="18">
        <f t="shared" si="8"/>
        <v>0.28723809523809524</v>
      </c>
      <c r="L65" s="93" t="s">
        <v>134</v>
      </c>
    </row>
    <row r="66" spans="1:12" ht="18.75">
      <c r="A66" s="90" t="s">
        <v>137</v>
      </c>
      <c r="B66" s="75" t="s">
        <v>361</v>
      </c>
      <c r="C66" s="75" t="s">
        <v>360</v>
      </c>
      <c r="D66" s="212" t="s">
        <v>7</v>
      </c>
      <c r="E66" s="212" t="s">
        <v>8</v>
      </c>
      <c r="F66" s="80" t="s">
        <v>133</v>
      </c>
      <c r="G66" s="81" t="s">
        <v>29</v>
      </c>
      <c r="H66" s="272" t="s">
        <v>39</v>
      </c>
      <c r="I66" s="278" t="s">
        <v>24</v>
      </c>
      <c r="J66" s="18" t="s">
        <v>37</v>
      </c>
      <c r="K66" s="80" t="s">
        <v>30</v>
      </c>
      <c r="L66" s="92" t="s">
        <v>41</v>
      </c>
    </row>
    <row r="67" spans="1:12" ht="15.75">
      <c r="A67" s="269" t="s">
        <v>98</v>
      </c>
      <c r="B67" s="34">
        <v>0</v>
      </c>
      <c r="C67" s="34"/>
      <c r="D67" s="34">
        <v>20</v>
      </c>
      <c r="E67" s="34">
        <v>30</v>
      </c>
      <c r="F67" s="109">
        <f>B67/($G$6*$C$3*D67*(E67-$H$9)^2)</f>
        <v>0</v>
      </c>
      <c r="G67" s="109">
        <f>1-SQRT(1-2*F67)</f>
        <v>0</v>
      </c>
      <c r="H67" s="273" t="str">
        <f aca="true" t="shared" si="10" ref="H67:H78">IF(F67&gt;$J$9,(B67-($J$9*$G$6*$C$3*D67*(E67-$H$9)^2))/($P$4*(E67-$H$7)),"Cấu tạo")</f>
        <v>Cấu tạo</v>
      </c>
      <c r="I67" s="279">
        <f aca="true" t="shared" si="11" ref="I67:I78">IF(F67&lt;=$J$9,(G67*$G$6*$C$3*D67*(E67-$H$9))/$P$3,($J$9*$G$6*$C$3*D67*(E67-$H$9))/$P$3+(($P$4*$M$7)/$P$3))</f>
        <v>0</v>
      </c>
      <c r="J67" s="18" t="str">
        <f t="shared" si="4"/>
        <v>Thỏa</v>
      </c>
      <c r="K67" s="19">
        <f aca="true" t="shared" si="12" ref="K67:K85">(I67+$M$7)/(D67*(E67-$H$9))*100</f>
        <v>0.4267924528301887</v>
      </c>
      <c r="L67" s="93" t="s">
        <v>134</v>
      </c>
    </row>
    <row r="68" spans="1:14" ht="16.5">
      <c r="A68" s="269"/>
      <c r="B68" s="85"/>
      <c r="C68" s="82">
        <v>1394.63</v>
      </c>
      <c r="D68" s="85">
        <v>20</v>
      </c>
      <c r="E68" s="85">
        <v>30</v>
      </c>
      <c r="F68" s="87">
        <f>C68/($G$6*$C$3*D68*(E68-$H$9)^2)</f>
        <v>0.1298003383149866</v>
      </c>
      <c r="G68" s="110">
        <f aca="true" t="shared" si="13" ref="G68:G85">1-SQRT(1-2*F68)</f>
        <v>0.13953540260506547</v>
      </c>
      <c r="H68" s="273" t="str">
        <f t="shared" si="10"/>
        <v>Cấu tạo</v>
      </c>
      <c r="I68" s="279">
        <f t="shared" si="11"/>
        <v>2.0205224637937067</v>
      </c>
      <c r="J68" s="18" t="str">
        <f t="shared" si="4"/>
        <v>Thỏa</v>
      </c>
      <c r="K68" s="19">
        <f t="shared" si="12"/>
        <v>0.8080231063761711</v>
      </c>
      <c r="L68" s="152" t="s">
        <v>134</v>
      </c>
      <c r="M68" s="154"/>
      <c r="N68" s="77"/>
    </row>
    <row r="69" spans="1:14" ht="16.5">
      <c r="A69" s="269"/>
      <c r="B69" s="109">
        <v>1911.43</v>
      </c>
      <c r="C69" s="34"/>
      <c r="D69" s="34">
        <v>20</v>
      </c>
      <c r="E69" s="34">
        <v>30</v>
      </c>
      <c r="F69" s="110">
        <f>B69/($G$6*$C$3*D69*(E69-$H$9)^2)</f>
        <v>0.17789970147308953</v>
      </c>
      <c r="G69" s="110">
        <f t="shared" si="13"/>
        <v>0.19737892062703655</v>
      </c>
      <c r="H69" s="273" t="str">
        <f t="shared" si="10"/>
        <v>Cấu tạo</v>
      </c>
      <c r="I69" s="279">
        <f t="shared" si="11"/>
        <v>2.8581172631511413</v>
      </c>
      <c r="J69" s="18" t="str">
        <f t="shared" si="4"/>
        <v>Thỏa</v>
      </c>
      <c r="K69" s="19">
        <f t="shared" si="12"/>
        <v>0.9660598609719134</v>
      </c>
      <c r="L69" s="152" t="s">
        <v>141</v>
      </c>
      <c r="M69" s="154"/>
      <c r="N69" s="77"/>
    </row>
    <row r="70" spans="1:14" ht="16.5">
      <c r="A70" s="269" t="s">
        <v>102</v>
      </c>
      <c r="B70" s="109">
        <f>B69</f>
        <v>1911.43</v>
      </c>
      <c r="C70" s="34"/>
      <c r="D70" s="34">
        <v>20</v>
      </c>
      <c r="E70" s="85">
        <v>30</v>
      </c>
      <c r="F70" s="110">
        <f>B70/($G$6*$C$3*D70*(E70-$H$9)^2)</f>
        <v>0.17789970147308953</v>
      </c>
      <c r="G70" s="110">
        <f>1-SQRT(1-2*F70)</f>
        <v>0.19737892062703655</v>
      </c>
      <c r="H70" s="273" t="str">
        <f t="shared" si="10"/>
        <v>Cấu tạo</v>
      </c>
      <c r="I70" s="279">
        <f t="shared" si="11"/>
        <v>2.8581172631511413</v>
      </c>
      <c r="J70" s="18" t="str">
        <f t="shared" si="4"/>
        <v>Thỏa</v>
      </c>
      <c r="K70" s="19">
        <f t="shared" si="12"/>
        <v>0.9660598609719134</v>
      </c>
      <c r="L70" s="152" t="s">
        <v>141</v>
      </c>
      <c r="M70" s="154"/>
      <c r="N70" s="77"/>
    </row>
    <row r="71" spans="1:14" ht="16.5">
      <c r="A71" s="269"/>
      <c r="B71" s="85"/>
      <c r="C71" s="85">
        <v>894.87</v>
      </c>
      <c r="D71" s="85">
        <v>20</v>
      </c>
      <c r="E71" s="34">
        <v>30</v>
      </c>
      <c r="F71" s="87">
        <f>C71/($G$6*$C$3*D71*(E71-$H$9)^2)</f>
        <v>0.08328691391116788</v>
      </c>
      <c r="G71" s="110">
        <f t="shared" si="13"/>
        <v>0.08707822231164608</v>
      </c>
      <c r="H71" s="274" t="str">
        <f t="shared" si="10"/>
        <v>Cấu tạo</v>
      </c>
      <c r="I71" s="279">
        <f t="shared" si="11"/>
        <v>1.2609237584377466</v>
      </c>
      <c r="J71" s="18" t="str">
        <f t="shared" si="4"/>
        <v>Thỏa</v>
      </c>
      <c r="K71" s="19">
        <f t="shared" si="12"/>
        <v>0.6647025959316504</v>
      </c>
      <c r="L71" s="152" t="s">
        <v>134</v>
      </c>
      <c r="M71" s="154"/>
      <c r="N71" s="77"/>
    </row>
    <row r="72" spans="1:14" ht="16.5">
      <c r="A72" s="269"/>
      <c r="B72" s="109">
        <v>1450.06</v>
      </c>
      <c r="C72" s="34"/>
      <c r="D72" s="34">
        <v>20</v>
      </c>
      <c r="E72" s="85">
        <v>30</v>
      </c>
      <c r="F72" s="110">
        <f>B72/($G$6*$C$3*D72*(E72-$H$9)^2)</f>
        <v>0.13495929284256716</v>
      </c>
      <c r="G72" s="110">
        <f t="shared" si="13"/>
        <v>0.14555198267251757</v>
      </c>
      <c r="H72" s="273" t="str">
        <f t="shared" si="10"/>
        <v>Cấu tạo</v>
      </c>
      <c r="I72" s="279">
        <f t="shared" si="11"/>
        <v>2.1076446919490093</v>
      </c>
      <c r="J72" s="18" t="str">
        <f t="shared" si="4"/>
        <v>Thỏa</v>
      </c>
      <c r="K72" s="19">
        <f t="shared" si="12"/>
        <v>0.8244612626318886</v>
      </c>
      <c r="L72" s="152" t="s">
        <v>134</v>
      </c>
      <c r="M72" s="154"/>
      <c r="N72" s="77"/>
    </row>
    <row r="73" spans="1:12" ht="15.75">
      <c r="A73" s="269" t="s">
        <v>125</v>
      </c>
      <c r="B73" s="109">
        <f>B72</f>
        <v>1450.06</v>
      </c>
      <c r="C73" s="34"/>
      <c r="D73" s="34">
        <v>20</v>
      </c>
      <c r="E73" s="34">
        <v>30</v>
      </c>
      <c r="F73" s="110">
        <f>B73/($G$6*$C$3*D73*(E73-$H$9)^2)</f>
        <v>0.13495929284256716</v>
      </c>
      <c r="G73" s="110">
        <f t="shared" si="13"/>
        <v>0.14555198267251757</v>
      </c>
      <c r="H73" s="273" t="str">
        <f t="shared" si="10"/>
        <v>Cấu tạo</v>
      </c>
      <c r="I73" s="279">
        <f t="shared" si="11"/>
        <v>2.1076446919490093</v>
      </c>
      <c r="J73" s="18" t="str">
        <f t="shared" si="4"/>
        <v>Thỏa</v>
      </c>
      <c r="K73" s="19">
        <f t="shared" si="12"/>
        <v>0.8244612626318886</v>
      </c>
      <c r="L73" s="152" t="s">
        <v>134</v>
      </c>
    </row>
    <row r="74" spans="1:12" ht="15.75">
      <c r="A74" s="269"/>
      <c r="B74" s="85"/>
      <c r="C74" s="85">
        <v>894.87</v>
      </c>
      <c r="D74" s="85">
        <v>20</v>
      </c>
      <c r="E74" s="85">
        <v>30</v>
      </c>
      <c r="F74" s="87">
        <f>C74/($G$6*$C$3*D74*(E74-$H$9)^2)</f>
        <v>0.08328691391116788</v>
      </c>
      <c r="G74" s="110">
        <f t="shared" si="13"/>
        <v>0.08707822231164608</v>
      </c>
      <c r="H74" s="274" t="str">
        <f t="shared" si="10"/>
        <v>Cấu tạo</v>
      </c>
      <c r="I74" s="279">
        <f t="shared" si="11"/>
        <v>1.2609237584377466</v>
      </c>
      <c r="J74" s="18" t="str">
        <f t="shared" si="4"/>
        <v>Thỏa</v>
      </c>
      <c r="K74" s="19">
        <f t="shared" si="12"/>
        <v>0.6647025959316504</v>
      </c>
      <c r="L74" s="93" t="s">
        <v>134</v>
      </c>
    </row>
    <row r="75" spans="1:12" ht="15.75">
      <c r="A75" s="269"/>
      <c r="B75" s="34">
        <v>1827.57</v>
      </c>
      <c r="C75" s="34"/>
      <c r="D75" s="34">
        <v>20</v>
      </c>
      <c r="E75" s="34">
        <v>30</v>
      </c>
      <c r="F75" s="110">
        <f>B75/($G$6*$C$3*D75*(E75-$H$9)^2)</f>
        <v>0.17009472354267444</v>
      </c>
      <c r="G75" s="110">
        <f t="shared" si="13"/>
        <v>0.18771276452559515</v>
      </c>
      <c r="H75" s="273" t="str">
        <f t="shared" si="10"/>
        <v>Cấu tạo</v>
      </c>
      <c r="I75" s="279">
        <f t="shared" si="11"/>
        <v>2.718147870603662</v>
      </c>
      <c r="J75" s="18" t="str">
        <f t="shared" si="4"/>
        <v>Thỏa</v>
      </c>
      <c r="K75" s="19">
        <f t="shared" si="12"/>
        <v>0.9396505416233325</v>
      </c>
      <c r="L75" s="93" t="s">
        <v>141</v>
      </c>
    </row>
    <row r="76" spans="1:12" ht="15.75">
      <c r="A76" s="269" t="s">
        <v>126</v>
      </c>
      <c r="B76" s="34">
        <f>B75</f>
        <v>1827.57</v>
      </c>
      <c r="C76" s="34"/>
      <c r="D76" s="34">
        <v>20</v>
      </c>
      <c r="E76" s="85">
        <v>30</v>
      </c>
      <c r="F76" s="110">
        <f>B76/($G$6*$C$3*D76*(E76-$H$9)^2)</f>
        <v>0.17009472354267444</v>
      </c>
      <c r="G76" s="110">
        <f t="shared" si="13"/>
        <v>0.18771276452559515</v>
      </c>
      <c r="H76" s="273" t="str">
        <f t="shared" si="10"/>
        <v>Cấu tạo</v>
      </c>
      <c r="I76" s="279">
        <f t="shared" si="11"/>
        <v>2.718147870603662</v>
      </c>
      <c r="J76" s="18" t="str">
        <f aca="true" t="shared" si="14" ref="J76:J85">IF(AND(($M$7+I76)/D76*(E76-$H$9)&gt;$M$9,($M$7+I76)/(D76*(E76-$H$9))&lt;=$P$9),"Thỏa","Không")</f>
        <v>Thỏa</v>
      </c>
      <c r="K76" s="19">
        <f t="shared" si="12"/>
        <v>0.9396505416233325</v>
      </c>
      <c r="L76" s="93" t="s">
        <v>141</v>
      </c>
    </row>
    <row r="77" spans="1:12" ht="15.75">
      <c r="A77" s="269"/>
      <c r="B77" s="85"/>
      <c r="C77" s="85">
        <v>1394.63</v>
      </c>
      <c r="D77" s="85">
        <v>20</v>
      </c>
      <c r="E77" s="34">
        <v>30</v>
      </c>
      <c r="F77" s="87">
        <f>C77/($G$6*$C$3*D77*(E77-$H$9)^2)</f>
        <v>0.1298003383149866</v>
      </c>
      <c r="G77" s="110">
        <f t="shared" si="13"/>
        <v>0.13953540260506547</v>
      </c>
      <c r="H77" s="274" t="str">
        <f t="shared" si="10"/>
        <v>Cấu tạo</v>
      </c>
      <c r="I77" s="279">
        <f t="shared" si="11"/>
        <v>2.0205224637937067</v>
      </c>
      <c r="J77" s="18" t="str">
        <f t="shared" si="14"/>
        <v>Thỏa</v>
      </c>
      <c r="K77" s="19">
        <f t="shared" si="12"/>
        <v>0.8080231063761711</v>
      </c>
      <c r="L77" s="93" t="s">
        <v>134</v>
      </c>
    </row>
    <row r="78" spans="1:12" ht="15.75">
      <c r="A78" s="269"/>
      <c r="B78" s="34">
        <v>0</v>
      </c>
      <c r="C78" s="34"/>
      <c r="D78" s="34">
        <v>20</v>
      </c>
      <c r="E78" s="34">
        <v>35</v>
      </c>
      <c r="F78" s="109">
        <f>B78/($G$6*$C$3*D78*(E78-$H$9)^2)</f>
        <v>0</v>
      </c>
      <c r="G78" s="109">
        <f t="shared" si="13"/>
        <v>0</v>
      </c>
      <c r="H78" s="273" t="str">
        <f t="shared" si="10"/>
        <v>Cấu tạo</v>
      </c>
      <c r="I78" s="279">
        <f t="shared" si="11"/>
        <v>0</v>
      </c>
      <c r="J78" s="18" t="str">
        <f t="shared" si="14"/>
        <v>Thỏa</v>
      </c>
      <c r="K78" s="19">
        <f t="shared" si="12"/>
        <v>0.35904761904761906</v>
      </c>
      <c r="L78" s="93" t="s">
        <v>139</v>
      </c>
    </row>
    <row r="79" spans="1:12" ht="18.75">
      <c r="A79" s="90" t="s">
        <v>137</v>
      </c>
      <c r="B79" s="75" t="s">
        <v>361</v>
      </c>
      <c r="C79" s="75" t="s">
        <v>360</v>
      </c>
      <c r="D79" s="212" t="s">
        <v>7</v>
      </c>
      <c r="E79" s="212" t="s">
        <v>8</v>
      </c>
      <c r="F79" s="80" t="s">
        <v>133</v>
      </c>
      <c r="G79" s="81" t="s">
        <v>29</v>
      </c>
      <c r="H79" s="272" t="s">
        <v>39</v>
      </c>
      <c r="I79" s="278" t="s">
        <v>24</v>
      </c>
      <c r="J79" s="18" t="s">
        <v>37</v>
      </c>
      <c r="K79" s="80" t="s">
        <v>30</v>
      </c>
      <c r="L79" s="92" t="s">
        <v>41</v>
      </c>
    </row>
    <row r="80" spans="1:14" ht="15.75">
      <c r="A80" s="269" t="s">
        <v>106</v>
      </c>
      <c r="B80" s="18">
        <v>0</v>
      </c>
      <c r="C80" s="18"/>
      <c r="D80" s="34">
        <v>20</v>
      </c>
      <c r="E80" s="34">
        <v>30</v>
      </c>
      <c r="F80" s="86">
        <f>B80/($G$6*$C$3*D80*(E80-$H$9)^2)</f>
        <v>0</v>
      </c>
      <c r="G80" s="86">
        <f t="shared" si="13"/>
        <v>0</v>
      </c>
      <c r="H80" s="273" t="str">
        <f aca="true" t="shared" si="15" ref="H80:H85">IF(F80&gt;$J$9,(B80-($J$9*$G$6*$C$3*D80*(E80-$H$9)^2))/($P$4*(E80-$H$7)),"Cấu tạo")</f>
        <v>Cấu tạo</v>
      </c>
      <c r="I80" s="281">
        <f aca="true" t="shared" si="16" ref="I80:I85">IF(F80&lt;=$J$9,(G80*$G$6*$C$3*D80*(E80-$H$9))/$P$3,($J$9*$G$6*$C$3*D80*(E80-$H$9))/$P$3+(($P$4*$M$7)/$P$3))</f>
        <v>0</v>
      </c>
      <c r="J80" s="18" t="str">
        <f t="shared" si="14"/>
        <v>Thỏa</v>
      </c>
      <c r="K80" s="18">
        <f t="shared" si="12"/>
        <v>0.4267924528301887</v>
      </c>
      <c r="L80" s="152" t="s">
        <v>139</v>
      </c>
      <c r="M80" s="151"/>
      <c r="N80" s="58"/>
    </row>
    <row r="81" spans="1:14" ht="15.75">
      <c r="A81" s="269"/>
      <c r="B81" s="18"/>
      <c r="C81" s="85">
        <v>1271.06</v>
      </c>
      <c r="D81" s="85">
        <v>20</v>
      </c>
      <c r="E81" s="85">
        <v>30</v>
      </c>
      <c r="F81" s="87">
        <f>C81/($G$6*$C$3*D81*(E81-$H$9)^2)</f>
        <v>0.118299490200732</v>
      </c>
      <c r="G81" s="84">
        <f t="shared" si="13"/>
        <v>0.12627177017190527</v>
      </c>
      <c r="H81" s="274" t="str">
        <f t="shared" si="15"/>
        <v>Cấu tạo</v>
      </c>
      <c r="I81" s="281">
        <f t="shared" si="16"/>
        <v>1.828460329149964</v>
      </c>
      <c r="J81" s="18" t="str">
        <f t="shared" si="14"/>
        <v>Thỏa</v>
      </c>
      <c r="K81" s="18">
        <f t="shared" si="12"/>
        <v>0.7717849677641442</v>
      </c>
      <c r="L81" s="152" t="s">
        <v>134</v>
      </c>
      <c r="M81" s="151"/>
      <c r="N81" s="58"/>
    </row>
    <row r="82" spans="1:16" ht="16.5">
      <c r="A82" s="269"/>
      <c r="B82" s="18">
        <v>2131.02</v>
      </c>
      <c r="C82" s="18"/>
      <c r="D82" s="34">
        <v>20</v>
      </c>
      <c r="E82" s="34">
        <v>30</v>
      </c>
      <c r="F82" s="84">
        <f>B82/($G$6*$C$3*D82*(E82-$H$9)^2)</f>
        <v>0.1983372772391263</v>
      </c>
      <c r="G82" s="84">
        <f t="shared" si="13"/>
        <v>0.2232597309771127</v>
      </c>
      <c r="H82" s="273" t="str">
        <f t="shared" si="15"/>
        <v>Cấu tạo</v>
      </c>
      <c r="I82" s="281">
        <f t="shared" si="16"/>
        <v>3.2328806401667984</v>
      </c>
      <c r="J82" s="18" t="str">
        <f t="shared" si="14"/>
        <v>Thỏa</v>
      </c>
      <c r="K82" s="18">
        <f t="shared" si="12"/>
        <v>1.036769932106943</v>
      </c>
      <c r="L82" s="152" t="s">
        <v>141</v>
      </c>
      <c r="M82" s="153"/>
      <c r="N82" s="77"/>
      <c r="O82" s="58"/>
      <c r="P82" s="58"/>
    </row>
    <row r="83" spans="1:16" ht="16.5">
      <c r="A83" s="269" t="s">
        <v>132</v>
      </c>
      <c r="B83" s="18">
        <f>B82</f>
        <v>2131.02</v>
      </c>
      <c r="C83" s="18"/>
      <c r="D83" s="34">
        <v>20</v>
      </c>
      <c r="E83" s="34">
        <v>30</v>
      </c>
      <c r="F83" s="84">
        <f>B83/($G$6*$C$3*D83*(E83-$H$9)^2)</f>
        <v>0.1983372772391263</v>
      </c>
      <c r="G83" s="84">
        <f t="shared" si="13"/>
        <v>0.2232597309771127</v>
      </c>
      <c r="H83" s="273" t="str">
        <f t="shared" si="15"/>
        <v>Cấu tạo</v>
      </c>
      <c r="I83" s="281">
        <f t="shared" si="16"/>
        <v>3.2328806401667984</v>
      </c>
      <c r="J83" s="18" t="str">
        <f t="shared" si="14"/>
        <v>Thỏa</v>
      </c>
      <c r="K83" s="18">
        <f t="shared" si="12"/>
        <v>1.036769932106943</v>
      </c>
      <c r="L83" s="152" t="s">
        <v>141</v>
      </c>
      <c r="M83" s="154"/>
      <c r="N83" s="77"/>
      <c r="O83" s="58"/>
      <c r="P83" s="58"/>
    </row>
    <row r="84" spans="1:16" ht="15.75">
      <c r="A84" s="269"/>
      <c r="B84" s="18"/>
      <c r="C84" s="85">
        <v>1271.06</v>
      </c>
      <c r="D84" s="85">
        <v>20</v>
      </c>
      <c r="E84" s="85">
        <v>30</v>
      </c>
      <c r="F84" s="87">
        <f>C84/($G$6*$C$3*D84*(E84-$H$9)^2)</f>
        <v>0.118299490200732</v>
      </c>
      <c r="G84" s="84">
        <f t="shared" si="13"/>
        <v>0.12627177017190527</v>
      </c>
      <c r="H84" s="274" t="str">
        <f t="shared" si="15"/>
        <v>Cấu tạo</v>
      </c>
      <c r="I84" s="281">
        <f t="shared" si="16"/>
        <v>1.828460329149964</v>
      </c>
      <c r="J84" s="18" t="str">
        <f t="shared" si="14"/>
        <v>Thỏa</v>
      </c>
      <c r="K84" s="18">
        <f t="shared" si="12"/>
        <v>0.7717849677641442</v>
      </c>
      <c r="L84" s="152" t="s">
        <v>134</v>
      </c>
      <c r="M84" s="151"/>
      <c r="N84" s="58"/>
      <c r="O84" s="58"/>
      <c r="P84" s="58"/>
    </row>
    <row r="85" spans="1:16" ht="15.75">
      <c r="A85" s="269"/>
      <c r="B85" s="18">
        <v>0</v>
      </c>
      <c r="C85" s="18"/>
      <c r="D85" s="34">
        <v>20</v>
      </c>
      <c r="E85" s="34">
        <v>30</v>
      </c>
      <c r="F85" s="86">
        <f>B85/($G$6*$C$3*D85*(E85-$H$9)^2)</f>
        <v>0</v>
      </c>
      <c r="G85" s="86">
        <f t="shared" si="13"/>
        <v>0</v>
      </c>
      <c r="H85" s="273" t="str">
        <f t="shared" si="15"/>
        <v>Cấu tạo</v>
      </c>
      <c r="I85" s="281">
        <f t="shared" si="16"/>
        <v>0</v>
      </c>
      <c r="J85" s="18" t="str">
        <f t="shared" si="14"/>
        <v>Thỏa</v>
      </c>
      <c r="K85" s="18">
        <f t="shared" si="12"/>
        <v>0.4267924528301887</v>
      </c>
      <c r="L85" s="93" t="s">
        <v>134</v>
      </c>
      <c r="N85" s="58"/>
      <c r="O85" s="58"/>
      <c r="P85" s="58"/>
    </row>
    <row r="86" spans="1:16" ht="18.75">
      <c r="A86" s="90" t="s">
        <v>138</v>
      </c>
      <c r="B86" s="75" t="s">
        <v>361</v>
      </c>
      <c r="C86" s="75" t="s">
        <v>360</v>
      </c>
      <c r="D86" s="212" t="s">
        <v>7</v>
      </c>
      <c r="E86" s="212" t="s">
        <v>8</v>
      </c>
      <c r="F86" s="80" t="s">
        <v>133</v>
      </c>
      <c r="G86" s="81" t="s">
        <v>29</v>
      </c>
      <c r="H86" s="272" t="s">
        <v>39</v>
      </c>
      <c r="I86" s="278" t="s">
        <v>24</v>
      </c>
      <c r="J86" s="18" t="s">
        <v>37</v>
      </c>
      <c r="K86" s="80" t="s">
        <v>30</v>
      </c>
      <c r="L86" s="92" t="s">
        <v>41</v>
      </c>
      <c r="N86" s="58"/>
      <c r="O86" s="58"/>
      <c r="P86" s="58"/>
    </row>
    <row r="87" spans="1:16" ht="15.75">
      <c r="A87" s="269" t="s">
        <v>103</v>
      </c>
      <c r="B87" s="34">
        <f>B78</f>
        <v>0</v>
      </c>
      <c r="C87" s="34"/>
      <c r="D87" s="34">
        <v>20</v>
      </c>
      <c r="E87" s="34">
        <v>30</v>
      </c>
      <c r="F87" s="111">
        <f>B87/($G$6*$C$3*D87*(E87-$H$9)^2)</f>
        <v>0</v>
      </c>
      <c r="G87" s="116">
        <f aca="true" t="shared" si="17" ref="G87:G95">1-SQRT(1-2*F87)</f>
        <v>0</v>
      </c>
      <c r="H87" s="273" t="str">
        <f aca="true" t="shared" si="18" ref="H87:H95">IF(F87&gt;$J$9,(B87-($J$9*$G$6*$C$3*D87*(E87-$H$9)^2))/($P$4*(E87-$H$7)),"Cấu tạo")</f>
        <v>Cấu tạo</v>
      </c>
      <c r="I87" s="282">
        <f aca="true" t="shared" si="19" ref="I87:I95">IF(F87&lt;=$J$9,(G87*$G$6*$C$3*D87*(E87-$H$9))/$P$3,($J$9*$G$6*$C$3*D87*(E87-$H$9))/$P$3+(($P$4*$M$7)/$P$3))</f>
        <v>0</v>
      </c>
      <c r="J87" s="18" t="str">
        <f aca="true" t="shared" si="20" ref="J87:J95">IF(AND(($M$7+I87)/D87*(E87-$H$9)&gt;$M$9,($M$7+I87)/(D87*(E87-$H$9))&lt;=$P$9),"Thỏa","Không")</f>
        <v>Thỏa</v>
      </c>
      <c r="K87" s="34">
        <f aca="true" t="shared" si="21" ref="K87:K95">(I87+$M$7)/(D87*(E87-$H$9))*100</f>
        <v>0.4267924528301887</v>
      </c>
      <c r="L87" s="114" t="s">
        <v>134</v>
      </c>
      <c r="N87" s="58"/>
      <c r="O87" s="58"/>
      <c r="P87" s="58"/>
    </row>
    <row r="88" spans="1:16" ht="15.75">
      <c r="A88" s="269"/>
      <c r="B88" s="113"/>
      <c r="C88" s="115">
        <v>1671.84</v>
      </c>
      <c r="D88" s="85">
        <v>20</v>
      </c>
      <c r="E88" s="85">
        <v>30</v>
      </c>
      <c r="F88" s="87">
        <f>C88/($G$6*$C$3*D88*(E88-$H$9)^2)</f>
        <v>0.15560069524427783</v>
      </c>
      <c r="G88" s="117">
        <f t="shared" si="17"/>
        <v>0.1700610808550762</v>
      </c>
      <c r="H88" s="274" t="str">
        <f t="shared" si="18"/>
        <v>Cấu tạo</v>
      </c>
      <c r="I88" s="282">
        <f t="shared" si="19"/>
        <v>2.4625451868818087</v>
      </c>
      <c r="J88" s="18" t="str">
        <f t="shared" si="20"/>
        <v>Thỏa</v>
      </c>
      <c r="K88" s="34">
        <f t="shared" si="21"/>
        <v>0.8914236201663791</v>
      </c>
      <c r="L88" s="114" t="s">
        <v>197</v>
      </c>
      <c r="N88" s="58"/>
      <c r="O88" s="58"/>
      <c r="P88" s="58"/>
    </row>
    <row r="89" spans="1:16" ht="15.75">
      <c r="A89" s="269"/>
      <c r="B89" s="34">
        <v>3946.69</v>
      </c>
      <c r="C89" s="34"/>
      <c r="D89" s="34">
        <v>20</v>
      </c>
      <c r="E89" s="34">
        <v>30</v>
      </c>
      <c r="F89" s="110">
        <f>B89/($G$6*$C$3*D89*(E89-$H$9)^2)</f>
        <v>0.3673244496564497</v>
      </c>
      <c r="G89" s="117">
        <f t="shared" si="17"/>
        <v>0.484877586697006</v>
      </c>
      <c r="H89" s="273" t="str">
        <f t="shared" si="18"/>
        <v>Cấu tạo</v>
      </c>
      <c r="I89" s="282">
        <f t="shared" si="19"/>
        <v>7.021200625939324</v>
      </c>
      <c r="J89" s="18" t="str">
        <f t="shared" si="20"/>
        <v>Thỏa</v>
      </c>
      <c r="K89" s="34">
        <f t="shared" si="21"/>
        <v>1.75154728791308</v>
      </c>
      <c r="L89" s="114" t="s">
        <v>199</v>
      </c>
      <c r="N89" s="58"/>
      <c r="O89" s="58"/>
      <c r="P89" s="58"/>
    </row>
    <row r="90" spans="1:16" ht="16.5">
      <c r="A90" s="269" t="s">
        <v>104</v>
      </c>
      <c r="B90" s="34">
        <f>B89</f>
        <v>3946.69</v>
      </c>
      <c r="C90" s="34"/>
      <c r="D90" s="34">
        <v>20</v>
      </c>
      <c r="E90" s="34">
        <v>30</v>
      </c>
      <c r="F90" s="110">
        <f>B90/($G$6*$C$3*D90*(E90-$H$9)^2)</f>
        <v>0.3673244496564497</v>
      </c>
      <c r="G90" s="117">
        <f t="shared" si="17"/>
        <v>0.484877586697006</v>
      </c>
      <c r="H90" s="273" t="str">
        <f t="shared" si="18"/>
        <v>Cấu tạo</v>
      </c>
      <c r="I90" s="282">
        <f t="shared" si="19"/>
        <v>7.021200625939324</v>
      </c>
      <c r="J90" s="18" t="str">
        <f t="shared" si="20"/>
        <v>Thỏa</v>
      </c>
      <c r="K90" s="34">
        <f t="shared" si="21"/>
        <v>1.75154728791308</v>
      </c>
      <c r="L90" s="114" t="s">
        <v>199</v>
      </c>
      <c r="N90" s="77"/>
      <c r="O90" s="150"/>
      <c r="P90" s="58"/>
    </row>
    <row r="91" spans="1:16" ht="16.5">
      <c r="A91" s="269"/>
      <c r="B91" s="34"/>
      <c r="C91" s="115">
        <v>3008.39</v>
      </c>
      <c r="D91" s="85">
        <v>20</v>
      </c>
      <c r="E91" s="85">
        <v>30</v>
      </c>
      <c r="F91" s="87">
        <f>C91/($G$6*$C$3*D91*(E91-$H$9)^2)</f>
        <v>0.27999543949536615</v>
      </c>
      <c r="G91" s="117">
        <f t="shared" si="17"/>
        <v>0.3366681667451292</v>
      </c>
      <c r="H91" s="274" t="str">
        <f t="shared" si="18"/>
        <v>Cấu tạo</v>
      </c>
      <c r="I91" s="282">
        <f t="shared" si="19"/>
        <v>4.875075293100451</v>
      </c>
      <c r="J91" s="18" t="str">
        <f t="shared" si="20"/>
        <v>Thỏa</v>
      </c>
      <c r="K91" s="34">
        <f t="shared" si="21"/>
        <v>1.346617979830274</v>
      </c>
      <c r="L91" s="114" t="s">
        <v>201</v>
      </c>
      <c r="N91" s="77"/>
      <c r="O91" s="150"/>
      <c r="P91" s="58"/>
    </row>
    <row r="92" spans="1:16" ht="16.5">
      <c r="A92" s="269"/>
      <c r="B92" s="34">
        <v>3946.69</v>
      </c>
      <c r="C92" s="111"/>
      <c r="D92" s="34">
        <v>20</v>
      </c>
      <c r="E92" s="34">
        <v>30</v>
      </c>
      <c r="F92" s="110">
        <f>B92/($G$6*$C$3*D92*(E92-$H$9)^2)</f>
        <v>0.3673244496564497</v>
      </c>
      <c r="G92" s="117">
        <f t="shared" si="17"/>
        <v>0.484877586697006</v>
      </c>
      <c r="H92" s="273" t="str">
        <f t="shared" si="18"/>
        <v>Cấu tạo</v>
      </c>
      <c r="I92" s="282">
        <f t="shared" si="19"/>
        <v>7.021200625939324</v>
      </c>
      <c r="J92" s="18" t="str">
        <f t="shared" si="20"/>
        <v>Thỏa</v>
      </c>
      <c r="K92" s="34">
        <f t="shared" si="21"/>
        <v>1.75154728791308</v>
      </c>
      <c r="L92" s="114" t="s">
        <v>199</v>
      </c>
      <c r="N92" s="77"/>
      <c r="O92" s="150"/>
      <c r="P92" s="58"/>
    </row>
    <row r="93" spans="1:16" ht="15.75">
      <c r="A93" s="269" t="s">
        <v>105</v>
      </c>
      <c r="B93" s="34">
        <f>B92</f>
        <v>3946.69</v>
      </c>
      <c r="C93" s="111"/>
      <c r="D93" s="34">
        <v>20</v>
      </c>
      <c r="E93" s="34">
        <v>30</v>
      </c>
      <c r="F93" s="110">
        <f>B93/($G$6*$C$3*D93*(E93-$H$9)^2)</f>
        <v>0.3673244496564497</v>
      </c>
      <c r="G93" s="117">
        <f t="shared" si="17"/>
        <v>0.484877586697006</v>
      </c>
      <c r="H93" s="273" t="str">
        <f t="shared" si="18"/>
        <v>Cấu tạo</v>
      </c>
      <c r="I93" s="282">
        <f t="shared" si="19"/>
        <v>7.021200625939324</v>
      </c>
      <c r="J93" s="18" t="str">
        <f t="shared" si="20"/>
        <v>Thỏa</v>
      </c>
      <c r="K93" s="34">
        <f t="shared" si="21"/>
        <v>1.75154728791308</v>
      </c>
      <c r="L93" s="114" t="s">
        <v>199</v>
      </c>
      <c r="N93" s="58"/>
      <c r="O93" s="58"/>
      <c r="P93" s="58"/>
    </row>
    <row r="94" spans="1:16" ht="15.75">
      <c r="A94" s="269"/>
      <c r="B94" s="34"/>
      <c r="C94" s="115">
        <v>1671.84</v>
      </c>
      <c r="D94" s="85">
        <v>20</v>
      </c>
      <c r="E94" s="85">
        <v>30</v>
      </c>
      <c r="F94" s="87">
        <f>C94/($G$6*$C$3*D94*(E94-$H$9)^2)</f>
        <v>0.15560069524427783</v>
      </c>
      <c r="G94" s="117">
        <f t="shared" si="17"/>
        <v>0.1700610808550762</v>
      </c>
      <c r="H94" s="274" t="str">
        <f t="shared" si="18"/>
        <v>Cấu tạo</v>
      </c>
      <c r="I94" s="282">
        <f t="shared" si="19"/>
        <v>2.4625451868818087</v>
      </c>
      <c r="J94" s="18" t="str">
        <f t="shared" si="20"/>
        <v>Thỏa</v>
      </c>
      <c r="K94" s="34">
        <f t="shared" si="21"/>
        <v>0.8914236201663791</v>
      </c>
      <c r="L94" s="114" t="s">
        <v>197</v>
      </c>
      <c r="N94" s="58"/>
      <c r="O94" s="58"/>
      <c r="P94" s="58"/>
    </row>
    <row r="95" spans="1:12" ht="15.75">
      <c r="A95" s="269"/>
      <c r="B95" s="34">
        <v>0</v>
      </c>
      <c r="C95" s="34"/>
      <c r="D95" s="34">
        <v>20</v>
      </c>
      <c r="E95" s="34">
        <v>30</v>
      </c>
      <c r="F95" s="111">
        <f>B95/($G$6*$C$3*D95*(E95-$H$9)^2)</f>
        <v>0</v>
      </c>
      <c r="G95" s="111">
        <f t="shared" si="17"/>
        <v>0</v>
      </c>
      <c r="H95" s="273" t="str">
        <f t="shared" si="18"/>
        <v>Cấu tạo</v>
      </c>
      <c r="I95" s="282">
        <f t="shared" si="19"/>
        <v>0</v>
      </c>
      <c r="J95" s="18" t="str">
        <f t="shared" si="20"/>
        <v>Thỏa</v>
      </c>
      <c r="K95" s="34">
        <f t="shared" si="21"/>
        <v>0.4267924528301887</v>
      </c>
      <c r="L95" s="114" t="s">
        <v>134</v>
      </c>
    </row>
    <row r="96" spans="1:12" ht="19.5">
      <c r="A96" s="299" t="s">
        <v>311</v>
      </c>
      <c r="B96" s="299"/>
      <c r="C96" s="299"/>
      <c r="D96" s="299"/>
      <c r="E96" s="299"/>
      <c r="F96" s="299"/>
      <c r="G96" s="299"/>
      <c r="H96" s="299"/>
      <c r="I96" s="299"/>
      <c r="J96" s="299"/>
      <c r="K96" s="299"/>
      <c r="L96" s="299"/>
    </row>
    <row r="97" spans="1:12" ht="18.75">
      <c r="A97" s="91" t="s">
        <v>209</v>
      </c>
      <c r="B97" s="75" t="s">
        <v>361</v>
      </c>
      <c r="C97" s="75" t="s">
        <v>360</v>
      </c>
      <c r="D97" s="212" t="s">
        <v>7</v>
      </c>
      <c r="E97" s="212" t="s">
        <v>8</v>
      </c>
      <c r="F97" s="80" t="s">
        <v>133</v>
      </c>
      <c r="G97" s="81" t="s">
        <v>29</v>
      </c>
      <c r="H97" s="79" t="s">
        <v>39</v>
      </c>
      <c r="I97" s="278" t="s">
        <v>24</v>
      </c>
      <c r="J97" s="75" t="s">
        <v>37</v>
      </c>
      <c r="K97" s="80" t="s">
        <v>30</v>
      </c>
      <c r="L97" s="75" t="s">
        <v>41</v>
      </c>
    </row>
    <row r="98" spans="1:12" ht="15.75">
      <c r="A98" s="269" t="s">
        <v>332</v>
      </c>
      <c r="B98" s="18">
        <v>0</v>
      </c>
      <c r="C98" s="18"/>
      <c r="D98" s="34">
        <v>25</v>
      </c>
      <c r="E98" s="34">
        <v>35</v>
      </c>
      <c r="F98" s="19">
        <f>B98/($G$6*$C$3*D98*(E98-$H$9)^2)</f>
        <v>0</v>
      </c>
      <c r="G98" s="19">
        <f>1-SQRT(1-2*F98)</f>
        <v>0</v>
      </c>
      <c r="H98" s="273" t="str">
        <f aca="true" t="shared" si="22" ref="H98:H125">IF(F98&gt;$J$9,(B98-($J$9*$G$6*$C$3*D98*(E98-$H$9)^2))/($P$4*(E98-$H$7)),"Cấu tạo")</f>
        <v>Cấu tạo</v>
      </c>
      <c r="I98" s="279">
        <f aca="true" t="shared" si="23" ref="I98:I125">IF(F98&lt;=$J$9,(G98*$G$6*$C$3*D98*(E98-$H$9))/$P$3,($J$9*$G$6*$C$3*D98*(E98-$H$9))/$P$3+(($P$4*$M$7)/$P$3))</f>
        <v>0</v>
      </c>
      <c r="J98" s="18" t="str">
        <f>IF(AND(($M$7+I98)/D98*(E98-$H$9)&gt;$M$9,($M$7+I98)/(D98*(E98-$H$9))&lt;=$P$9),"Thỏa","Không")</f>
        <v>Thỏa</v>
      </c>
      <c r="K98" s="18">
        <f aca="true" t="shared" si="24" ref="K98:K125">(I98+$M$7)/(D98*(E98-$H$9))*100</f>
        <v>0.28723809523809524</v>
      </c>
      <c r="L98" s="18" t="s">
        <v>134</v>
      </c>
    </row>
    <row r="99" spans="1:12" ht="15.75">
      <c r="A99" s="269"/>
      <c r="B99" s="35"/>
      <c r="C99" s="155">
        <v>2841.77</v>
      </c>
      <c r="D99" s="85">
        <v>25</v>
      </c>
      <c r="E99" s="85">
        <v>35</v>
      </c>
      <c r="F99" s="19">
        <f>C99/($G$6*$C$3*D99*(E99-$H$9)^2)</f>
        <v>0.1497498423237608</v>
      </c>
      <c r="G99" s="84">
        <f aca="true" t="shared" si="25" ref="G99:G153">1-SQRT(1-2*F99)</f>
        <v>0.1630410312611027</v>
      </c>
      <c r="H99" s="273" t="str">
        <f t="shared" si="22"/>
        <v>Cấu tạo</v>
      </c>
      <c r="I99" s="279">
        <f t="shared" si="23"/>
        <v>3.5079296882271622</v>
      </c>
      <c r="J99" s="18" t="str">
        <f aca="true" t="shared" si="26" ref="J99:J125">IF(AND(($M$7+I99)/D99*(E99-$H$9)&gt;$M$9,($M$7+I99)/(D99*(E99-$H$9))&lt;=$P$9),"Thỏa","Không")</f>
        <v>Thỏa</v>
      </c>
      <c r="K99" s="18">
        <f t="shared" si="24"/>
        <v>0.7326894842193221</v>
      </c>
      <c r="L99" s="18" t="s">
        <v>196</v>
      </c>
    </row>
    <row r="100" spans="1:12" ht="15.75">
      <c r="A100" s="269"/>
      <c r="B100" s="86">
        <v>5806.59</v>
      </c>
      <c r="C100" s="18"/>
      <c r="D100" s="34">
        <v>25</v>
      </c>
      <c r="E100" s="34">
        <v>35</v>
      </c>
      <c r="F100" s="84">
        <f>B100/($G$6*$C$3*D100*(E100-$H$9)^2)</f>
        <v>0.3059839244339711</v>
      </c>
      <c r="G100" s="84">
        <f t="shared" si="25"/>
        <v>0.3770777326728014</v>
      </c>
      <c r="H100" s="273" t="str">
        <f t="shared" si="22"/>
        <v>Cấu tạo</v>
      </c>
      <c r="I100" s="280">
        <f t="shared" si="23"/>
        <v>8.113063092038242</v>
      </c>
      <c r="J100" s="18" t="str">
        <f t="shared" si="26"/>
        <v>Thỏa</v>
      </c>
      <c r="K100" s="18">
        <f t="shared" si="24"/>
        <v>1.3174683291477134</v>
      </c>
      <c r="L100" s="18" t="s">
        <v>351</v>
      </c>
    </row>
    <row r="101" spans="1:12" ht="15.75">
      <c r="A101" s="269" t="s">
        <v>333</v>
      </c>
      <c r="B101" s="86">
        <v>7603.63</v>
      </c>
      <c r="C101" s="18"/>
      <c r="D101" s="34">
        <v>25</v>
      </c>
      <c r="E101" s="34">
        <v>40</v>
      </c>
      <c r="F101" s="84">
        <f>B101/($G$6*$C$3*D101*(E101-$H$9)^2)</f>
        <v>0.29842403815845475</v>
      </c>
      <c r="G101" s="84">
        <f>1-SQRT(1-2*F101)</f>
        <v>0.3650575430142583</v>
      </c>
      <c r="H101" s="273" t="str">
        <f t="shared" si="22"/>
        <v>Cấu tạo</v>
      </c>
      <c r="I101" s="280">
        <f t="shared" si="23"/>
        <v>9.101177897156811</v>
      </c>
      <c r="J101" s="18" t="str">
        <f t="shared" si="26"/>
        <v>Thỏa</v>
      </c>
      <c r="K101" s="18">
        <f t="shared" si="24"/>
        <v>1.2452797695514315</v>
      </c>
      <c r="L101" s="18" t="s">
        <v>352</v>
      </c>
    </row>
    <row r="102" spans="1:12" ht="15.75">
      <c r="A102" s="269"/>
      <c r="B102" s="35"/>
      <c r="C102" s="35">
        <v>1400.21</v>
      </c>
      <c r="D102" s="85">
        <v>25</v>
      </c>
      <c r="E102" s="85">
        <v>40</v>
      </c>
      <c r="F102" s="19">
        <f>C102/($G$6*$C$3*D102*(E102-$H$9)^2)</f>
        <v>0.05495484689153074</v>
      </c>
      <c r="G102" s="84">
        <f t="shared" si="25"/>
        <v>0.05655402580914126</v>
      </c>
      <c r="H102" s="274" t="str">
        <f t="shared" si="22"/>
        <v>Cấu tạo</v>
      </c>
      <c r="I102" s="280">
        <f t="shared" si="23"/>
        <v>1.4099373086212026</v>
      </c>
      <c r="J102" s="18" t="str">
        <f t="shared" si="26"/>
        <v>Thỏa</v>
      </c>
      <c r="K102" s="18">
        <f t="shared" si="24"/>
        <v>0.4024040886160222</v>
      </c>
      <c r="L102" s="18" t="s">
        <v>134</v>
      </c>
    </row>
    <row r="103" spans="1:12" ht="15.75">
      <c r="A103" s="269"/>
      <c r="B103" s="18">
        <v>4750.86</v>
      </c>
      <c r="C103" s="18">
        <v>1982.98</v>
      </c>
      <c r="D103" s="34">
        <v>25</v>
      </c>
      <c r="E103" s="34">
        <v>40</v>
      </c>
      <c r="F103" s="84">
        <f>B103/($G$6*$C$3*D103*(E103-$H$9)^2)</f>
        <v>0.18645973382785277</v>
      </c>
      <c r="G103" s="84">
        <f t="shared" si="25"/>
        <v>0.2081158340108734</v>
      </c>
      <c r="H103" s="273" t="str">
        <f t="shared" si="22"/>
        <v>Cấu tạo</v>
      </c>
      <c r="I103" s="280">
        <f t="shared" si="23"/>
        <v>5.18849497782912</v>
      </c>
      <c r="J103" s="18" t="str">
        <f t="shared" si="26"/>
        <v>Thỏa</v>
      </c>
      <c r="K103" s="18">
        <f t="shared" si="24"/>
        <v>0.8164926003100405</v>
      </c>
      <c r="L103" s="18" t="s">
        <v>140</v>
      </c>
    </row>
    <row r="104" spans="1:12" ht="15.75">
      <c r="A104" s="269" t="s">
        <v>334</v>
      </c>
      <c r="B104" s="18">
        <v>4270.31</v>
      </c>
      <c r="C104" s="18"/>
      <c r="D104" s="34">
        <v>25</v>
      </c>
      <c r="E104" s="34">
        <v>40</v>
      </c>
      <c r="F104" s="84">
        <f>B104/($G$6*$C$3*D104*(E104-$H$9)^2)</f>
        <v>0.1675993116956547</v>
      </c>
      <c r="G104" s="84">
        <f t="shared" si="25"/>
        <v>0.1846464713949595</v>
      </c>
      <c r="H104" s="273" t="str">
        <f t="shared" si="22"/>
        <v>Cấu tạo</v>
      </c>
      <c r="I104" s="280">
        <f t="shared" si="23"/>
        <v>4.60338490850514</v>
      </c>
      <c r="J104" s="18" t="str">
        <f t="shared" si="26"/>
        <v>Thỏa</v>
      </c>
      <c r="K104" s="18">
        <f t="shared" si="24"/>
        <v>0.7523709488772756</v>
      </c>
      <c r="L104" s="18" t="s">
        <v>140</v>
      </c>
    </row>
    <row r="105" spans="1:15" ht="15.75">
      <c r="A105" s="269"/>
      <c r="B105" s="35"/>
      <c r="C105" s="35">
        <v>1982.98</v>
      </c>
      <c r="D105" s="85">
        <v>25</v>
      </c>
      <c r="E105" s="85">
        <v>40</v>
      </c>
      <c r="F105" s="19">
        <f>C105/($G$6*$C$3*D105*(E105-$H$9)^2)</f>
        <v>0.0778271561329855</v>
      </c>
      <c r="G105" s="84">
        <f t="shared" si="25"/>
        <v>0.0811171523344072</v>
      </c>
      <c r="H105" s="274" t="str">
        <f t="shared" si="22"/>
        <v>Cấu tạo</v>
      </c>
      <c r="I105" s="280">
        <f t="shared" si="23"/>
        <v>2.0223157911227543</v>
      </c>
      <c r="J105" s="18" t="str">
        <f t="shared" si="26"/>
        <v>Thỏa</v>
      </c>
      <c r="K105" s="18">
        <f t="shared" si="24"/>
        <v>0.4695140593011238</v>
      </c>
      <c r="L105" s="18" t="s">
        <v>134</v>
      </c>
      <c r="N105" s="260"/>
      <c r="O105" s="260"/>
    </row>
    <row r="106" spans="1:14" ht="15.75">
      <c r="A106" s="269"/>
      <c r="B106" s="18">
        <v>3113.43</v>
      </c>
      <c r="C106" s="18"/>
      <c r="D106" s="34">
        <v>25</v>
      </c>
      <c r="E106" s="34">
        <v>40</v>
      </c>
      <c r="F106" s="84">
        <f>B106/($G$6*$C$3*D106*(E106-$H$9)^2)</f>
        <v>0.1221945772116315</v>
      </c>
      <c r="G106" s="84">
        <f t="shared" si="25"/>
        <v>0.13074120908860698</v>
      </c>
      <c r="H106" s="273" t="str">
        <f t="shared" si="22"/>
        <v>Cấu tạo</v>
      </c>
      <c r="I106" s="280">
        <f t="shared" si="23"/>
        <v>3.259483402479133</v>
      </c>
      <c r="J106" s="18" t="str">
        <f t="shared" si="26"/>
        <v>Thỏa</v>
      </c>
      <c r="K106" s="18">
        <f t="shared" si="24"/>
        <v>0.6050940715045625</v>
      </c>
      <c r="L106" s="18" t="s">
        <v>197</v>
      </c>
      <c r="N106" s="1"/>
    </row>
    <row r="107" spans="1:15" ht="15.75">
      <c r="A107" s="269" t="s">
        <v>335</v>
      </c>
      <c r="B107" s="18">
        <v>2921.53</v>
      </c>
      <c r="C107" s="18"/>
      <c r="D107" s="34">
        <v>25</v>
      </c>
      <c r="E107" s="34">
        <v>40</v>
      </c>
      <c r="F107" s="84">
        <f>B107/($G$6*$C$3*D107*(E107-$H$9)^2)</f>
        <v>0.1146629675827296</v>
      </c>
      <c r="G107" s="84">
        <f t="shared" si="25"/>
        <v>0.12211956119609269</v>
      </c>
      <c r="H107" s="273" t="str">
        <f t="shared" si="22"/>
        <v>Cấu tạo</v>
      </c>
      <c r="I107" s="280">
        <f t="shared" si="23"/>
        <v>3.0445387924088374</v>
      </c>
      <c r="J107" s="18" t="str">
        <f t="shared" si="26"/>
        <v>Thỏa</v>
      </c>
      <c r="K107" s="18">
        <f t="shared" si="24"/>
        <v>0.5815384977982287</v>
      </c>
      <c r="L107" s="18" t="s">
        <v>197</v>
      </c>
      <c r="N107" s="1"/>
      <c r="O107" s="261"/>
    </row>
    <row r="108" spans="1:15" ht="15.75">
      <c r="A108" s="269"/>
      <c r="B108" s="35"/>
      <c r="C108" s="35">
        <v>603.28</v>
      </c>
      <c r="D108" s="85">
        <v>25</v>
      </c>
      <c r="E108" s="85">
        <v>40</v>
      </c>
      <c r="F108" s="19">
        <f>C108/($G$6*$C$3*D108*(E108-$H$9)^2)</f>
        <v>0.023677277003251417</v>
      </c>
      <c r="G108" s="84">
        <f t="shared" si="25"/>
        <v>0.02396442380746322</v>
      </c>
      <c r="H108" s="274" t="str">
        <f t="shared" si="22"/>
        <v>Cấu tạo</v>
      </c>
      <c r="I108" s="280">
        <f t="shared" si="23"/>
        <v>0.597452342646332</v>
      </c>
      <c r="J108" s="18" t="str">
        <f t="shared" si="26"/>
        <v>Thỏa</v>
      </c>
      <c r="K108" s="18">
        <f t="shared" si="24"/>
        <v>0.31336464029000893</v>
      </c>
      <c r="L108" s="18" t="s">
        <v>134</v>
      </c>
      <c r="N108" s="1"/>
      <c r="O108" s="261"/>
    </row>
    <row r="109" spans="1:15" ht="15.75">
      <c r="A109" s="269"/>
      <c r="B109" s="18">
        <v>3873.85</v>
      </c>
      <c r="C109" s="18"/>
      <c r="D109" s="34">
        <v>25</v>
      </c>
      <c r="E109" s="34">
        <v>40</v>
      </c>
      <c r="F109" s="84">
        <f>B109/($G$6*$C$3*D109*(E109-$H$9)^2)</f>
        <v>0.15203921813924795</v>
      </c>
      <c r="G109" s="84">
        <f t="shared" si="25"/>
        <v>0.1657808658862444</v>
      </c>
      <c r="H109" s="273" t="str">
        <f t="shared" si="22"/>
        <v>Cấu tạo</v>
      </c>
      <c r="I109" s="280">
        <f t="shared" si="23"/>
        <v>4.133050203311304</v>
      </c>
      <c r="J109" s="18" t="str">
        <f t="shared" si="26"/>
        <v>Thỏa</v>
      </c>
      <c r="K109" s="18">
        <f t="shared" si="24"/>
        <v>0.7008274195409647</v>
      </c>
      <c r="L109" s="18" t="s">
        <v>167</v>
      </c>
      <c r="M109" s="261">
        <v>1</v>
      </c>
      <c r="N109" s="263">
        <v>0</v>
      </c>
      <c r="O109" s="261"/>
    </row>
    <row r="110" spans="1:15" ht="15.75">
      <c r="A110" s="269" t="s">
        <v>336</v>
      </c>
      <c r="B110" s="18">
        <v>2851.06</v>
      </c>
      <c r="C110" s="18"/>
      <c r="D110" s="34">
        <v>20</v>
      </c>
      <c r="E110" s="34">
        <v>30</v>
      </c>
      <c r="F110" s="84">
        <f>B110/($G$6*$C$3*D110*(E110-$H$9)^2)</f>
        <v>0.26535249675994754</v>
      </c>
      <c r="G110" s="84">
        <f t="shared" si="25"/>
        <v>0.3149489022853077</v>
      </c>
      <c r="H110" s="273" t="str">
        <f t="shared" si="22"/>
        <v>Cấu tạo</v>
      </c>
      <c r="I110" s="280">
        <f t="shared" si="23"/>
        <v>4.5605725868420715</v>
      </c>
      <c r="J110" s="18" t="str">
        <f t="shared" si="26"/>
        <v>Thỏa</v>
      </c>
      <c r="K110" s="18">
        <f t="shared" si="24"/>
        <v>1.2872778465739758</v>
      </c>
      <c r="L110" s="18" t="s">
        <v>167</v>
      </c>
      <c r="M110" s="261">
        <v>1</v>
      </c>
      <c r="N110" s="263">
        <v>5806.59</v>
      </c>
      <c r="O110" s="262"/>
    </row>
    <row r="111" spans="1:15" ht="15.75">
      <c r="A111" s="269"/>
      <c r="B111" s="88"/>
      <c r="C111" s="85">
        <v>1461.9</v>
      </c>
      <c r="D111" s="85">
        <v>20</v>
      </c>
      <c r="E111" s="85">
        <v>30</v>
      </c>
      <c r="F111" s="87">
        <f>C111/($G$6*$C$3*D111*(E111-$H$9)^2)</f>
        <v>0.1360612596765299</v>
      </c>
      <c r="G111" s="84">
        <f t="shared" si="25"/>
        <v>0.14684264016130055</v>
      </c>
      <c r="H111" s="274" t="str">
        <f t="shared" si="22"/>
        <v>Cấu tạo</v>
      </c>
      <c r="I111" s="280">
        <f t="shared" si="23"/>
        <v>2.12633387333569</v>
      </c>
      <c r="J111" s="18" t="str">
        <f t="shared" si="26"/>
        <v>Thỏa</v>
      </c>
      <c r="K111" s="18">
        <f t="shared" si="24"/>
        <v>0.8279875232708848</v>
      </c>
      <c r="L111" s="18" t="s">
        <v>134</v>
      </c>
      <c r="M111" s="261">
        <v>2</v>
      </c>
      <c r="N111" s="263">
        <v>7603.63</v>
      </c>
      <c r="O111" s="262"/>
    </row>
    <row r="112" spans="1:15" ht="15.75">
      <c r="A112" s="269"/>
      <c r="B112" s="34">
        <v>4008.83</v>
      </c>
      <c r="C112" s="75"/>
      <c r="D112" s="34">
        <v>20</v>
      </c>
      <c r="E112" s="34">
        <v>30</v>
      </c>
      <c r="F112" s="84">
        <f>B112/($G$6*$C$3*D112*(E112-$H$9)^2)</f>
        <v>0.3731079141042912</v>
      </c>
      <c r="G112" s="84">
        <f t="shared" si="25"/>
        <v>0.496230040800945</v>
      </c>
      <c r="H112" s="273" t="str">
        <f t="shared" si="22"/>
        <v>Cấu tạo</v>
      </c>
      <c r="I112" s="280">
        <f t="shared" si="23"/>
        <v>7.185588215812255</v>
      </c>
      <c r="J112" s="18" t="str">
        <f t="shared" si="26"/>
        <v>Thỏa</v>
      </c>
      <c r="K112" s="18">
        <f t="shared" si="24"/>
        <v>1.7825638143041989</v>
      </c>
      <c r="L112" s="18" t="s">
        <v>199</v>
      </c>
      <c r="M112" s="261">
        <v>2</v>
      </c>
      <c r="N112" s="263">
        <v>4750.86</v>
      </c>
      <c r="O112" s="262"/>
    </row>
    <row r="113" spans="1:15" ht="15.75">
      <c r="A113" s="269" t="s">
        <v>337</v>
      </c>
      <c r="B113" s="18">
        <v>3214.95</v>
      </c>
      <c r="C113" s="18"/>
      <c r="D113" s="34">
        <v>20</v>
      </c>
      <c r="E113" s="34">
        <v>30</v>
      </c>
      <c r="F113" s="84">
        <f>B113/($G$6*$C$3*D113*(E113-$H$9)^2)</f>
        <v>0.29922029331490513</v>
      </c>
      <c r="G113" s="84">
        <f t="shared" si="25"/>
        <v>0.3663128426658864</v>
      </c>
      <c r="H113" s="273" t="str">
        <f t="shared" si="22"/>
        <v>Cấu tạo</v>
      </c>
      <c r="I113" s="280">
        <f t="shared" si="23"/>
        <v>5.3043407878172735</v>
      </c>
      <c r="J113" s="18" t="str">
        <f t="shared" si="26"/>
        <v>Thỏa</v>
      </c>
      <c r="K113" s="18">
        <f t="shared" si="24"/>
        <v>1.4276114693994855</v>
      </c>
      <c r="L113" s="18" t="s">
        <v>140</v>
      </c>
      <c r="M113" s="261">
        <v>3</v>
      </c>
      <c r="N113" s="263">
        <v>4270.31</v>
      </c>
      <c r="O113" s="262"/>
    </row>
    <row r="114" spans="1:15" ht="15.75">
      <c r="A114" s="269"/>
      <c r="B114" s="18"/>
      <c r="C114" s="85">
        <v>1008.34</v>
      </c>
      <c r="D114" s="85">
        <v>20</v>
      </c>
      <c r="E114" s="85">
        <v>30</v>
      </c>
      <c r="F114" s="87">
        <f>C114/($G$6*$C$3*D114*(E114-$H$9)^2)</f>
        <v>0.09384773964172116</v>
      </c>
      <c r="G114" s="84">
        <f t="shared" si="25"/>
        <v>0.09872062005360527</v>
      </c>
      <c r="H114" s="274" t="str">
        <f t="shared" si="22"/>
        <v>Cấu tạo</v>
      </c>
      <c r="I114" s="280">
        <f t="shared" si="23"/>
        <v>1.4295098357405094</v>
      </c>
      <c r="J114" s="18" t="str">
        <f t="shared" si="26"/>
        <v>Thỏa</v>
      </c>
      <c r="K114" s="18">
        <f t="shared" si="24"/>
        <v>0.6965112897623603</v>
      </c>
      <c r="L114" s="18" t="s">
        <v>134</v>
      </c>
      <c r="M114" s="261">
        <v>3</v>
      </c>
      <c r="N114" s="263">
        <v>3113.43</v>
      </c>
      <c r="O114" s="262"/>
    </row>
    <row r="115" spans="1:15" ht="15.75">
      <c r="A115" s="269"/>
      <c r="B115" s="18">
        <v>0</v>
      </c>
      <c r="C115" s="18"/>
      <c r="D115" s="34">
        <v>20</v>
      </c>
      <c r="E115" s="34">
        <v>30</v>
      </c>
      <c r="F115" s="86">
        <f>B115/($G$6*$C$3*D115*(E115-$H$9)^2)</f>
        <v>0</v>
      </c>
      <c r="G115" s="86">
        <f t="shared" si="25"/>
        <v>0</v>
      </c>
      <c r="H115" s="273" t="str">
        <f t="shared" si="22"/>
        <v>Cấu tạo</v>
      </c>
      <c r="I115" s="280">
        <f t="shared" si="23"/>
        <v>0</v>
      </c>
      <c r="J115" s="18" t="str">
        <f t="shared" si="26"/>
        <v>Thỏa</v>
      </c>
      <c r="K115" s="18">
        <f t="shared" si="24"/>
        <v>0.4267924528301887</v>
      </c>
      <c r="L115" s="18" t="s">
        <v>134</v>
      </c>
      <c r="M115" s="261">
        <v>4</v>
      </c>
      <c r="N115" s="263">
        <v>2921.53</v>
      </c>
      <c r="O115" s="262"/>
    </row>
    <row r="116" spans="1:15" ht="18.75">
      <c r="A116" s="91" t="s">
        <v>239</v>
      </c>
      <c r="B116" s="75" t="s">
        <v>361</v>
      </c>
      <c r="C116" s="75" t="s">
        <v>360</v>
      </c>
      <c r="D116" s="212" t="s">
        <v>7</v>
      </c>
      <c r="E116" s="212" t="s">
        <v>8</v>
      </c>
      <c r="F116" s="80" t="s">
        <v>133</v>
      </c>
      <c r="G116" s="81" t="s">
        <v>29</v>
      </c>
      <c r="H116" s="79" t="s">
        <v>39</v>
      </c>
      <c r="I116" s="278" t="s">
        <v>24</v>
      </c>
      <c r="J116" s="75" t="s">
        <v>37</v>
      </c>
      <c r="K116" s="80" t="s">
        <v>30</v>
      </c>
      <c r="L116" s="75" t="s">
        <v>41</v>
      </c>
      <c r="M116" s="261">
        <v>4</v>
      </c>
      <c r="N116" s="263">
        <v>3873.85</v>
      </c>
      <c r="O116" s="262"/>
    </row>
    <row r="117" spans="1:15" ht="15.75">
      <c r="A117" s="269" t="s">
        <v>338</v>
      </c>
      <c r="B117" s="18">
        <f>B115</f>
        <v>0</v>
      </c>
      <c r="C117" s="18"/>
      <c r="D117" s="34">
        <v>25</v>
      </c>
      <c r="E117" s="34">
        <v>35</v>
      </c>
      <c r="F117" s="86">
        <f>B117/($G$6*$C$3*D117*(E117-$H$9)^2)</f>
        <v>0</v>
      </c>
      <c r="G117" s="86">
        <f t="shared" si="25"/>
        <v>0</v>
      </c>
      <c r="H117" s="273" t="str">
        <f t="shared" si="22"/>
        <v>Cấu tạo</v>
      </c>
      <c r="I117" s="280">
        <f t="shared" si="23"/>
        <v>0</v>
      </c>
      <c r="J117" s="18" t="str">
        <f t="shared" si="26"/>
        <v>Thỏa</v>
      </c>
      <c r="K117" s="18">
        <f t="shared" si="24"/>
        <v>0.28723809523809524</v>
      </c>
      <c r="L117" s="18" t="s">
        <v>134</v>
      </c>
      <c r="M117" s="261">
        <v>5</v>
      </c>
      <c r="N117" s="263">
        <v>2851.06</v>
      </c>
      <c r="O117" s="262"/>
    </row>
    <row r="118" spans="1:15" ht="15.75">
      <c r="A118" s="269"/>
      <c r="B118" s="18"/>
      <c r="C118" s="85">
        <v>2808.02</v>
      </c>
      <c r="D118" s="85">
        <v>25</v>
      </c>
      <c r="E118" s="85">
        <v>35</v>
      </c>
      <c r="F118" s="87">
        <f>C118/($G$6*$C$3*D118*(E118-$H$9)^2)</f>
        <v>0.14797135315031362</v>
      </c>
      <c r="G118" s="84">
        <f t="shared" si="25"/>
        <v>0.16091878003415383</v>
      </c>
      <c r="H118" s="274" t="str">
        <f t="shared" si="22"/>
        <v>Cấu tạo</v>
      </c>
      <c r="I118" s="280">
        <f t="shared" si="23"/>
        <v>3.462268126672341</v>
      </c>
      <c r="J118" s="18" t="str">
        <f t="shared" si="26"/>
        <v>Thỏa</v>
      </c>
      <c r="K118" s="18">
        <f t="shared" si="24"/>
        <v>0.7268911906885511</v>
      </c>
      <c r="L118" s="18" t="s">
        <v>196</v>
      </c>
      <c r="M118" s="261">
        <v>5</v>
      </c>
      <c r="N118" s="263">
        <v>4008.83</v>
      </c>
      <c r="O118" s="262"/>
    </row>
    <row r="119" spans="1:15" ht="15.75">
      <c r="A119" s="269"/>
      <c r="B119" s="18">
        <v>5739.09</v>
      </c>
      <c r="C119" s="18"/>
      <c r="D119" s="34">
        <v>25</v>
      </c>
      <c r="E119" s="34">
        <v>35</v>
      </c>
      <c r="F119" s="84">
        <f>B119/($G$6*$C$3*D119*(E119-$H$9)^2)</f>
        <v>0.3024269460870768</v>
      </c>
      <c r="G119" s="84">
        <f t="shared" si="25"/>
        <v>0.37139351910289187</v>
      </c>
      <c r="H119" s="273" t="str">
        <f t="shared" si="22"/>
        <v>Cấu tạo</v>
      </c>
      <c r="I119" s="280">
        <f t="shared" si="23"/>
        <v>7.990763684448157</v>
      </c>
      <c r="J119" s="18" t="str">
        <f t="shared" si="26"/>
        <v>Thỏa</v>
      </c>
      <c r="K119" s="18">
        <f t="shared" si="24"/>
        <v>1.3019382456442103</v>
      </c>
      <c r="L119" s="18" t="s">
        <v>354</v>
      </c>
      <c r="M119" s="261">
        <v>6</v>
      </c>
      <c r="N119" s="263">
        <v>3214.95</v>
      </c>
      <c r="O119" s="262"/>
    </row>
    <row r="120" spans="1:15" ht="15.75">
      <c r="A120" s="269" t="s">
        <v>339</v>
      </c>
      <c r="B120" s="18">
        <v>5750.77</v>
      </c>
      <c r="C120" s="18"/>
      <c r="D120" s="34">
        <v>25</v>
      </c>
      <c r="E120" s="34">
        <v>40</v>
      </c>
      <c r="F120" s="84">
        <f>B120/($G$6*$C$3*D120*(E120-$H$9)^2)</f>
        <v>0.2257037764752489</v>
      </c>
      <c r="G120" s="84">
        <f t="shared" si="25"/>
        <v>0.2593297312234666</v>
      </c>
      <c r="H120" s="273" t="str">
        <f t="shared" si="22"/>
        <v>Cấu tạo</v>
      </c>
      <c r="I120" s="280">
        <f t="shared" si="23"/>
        <v>6.465298589363612</v>
      </c>
      <c r="J120" s="18" t="str">
        <f t="shared" si="26"/>
        <v>Thỏa</v>
      </c>
      <c r="K120" s="18">
        <f t="shared" si="24"/>
        <v>0.9564162837658753</v>
      </c>
      <c r="L120" s="18" t="s">
        <v>198</v>
      </c>
      <c r="M120" s="261">
        <v>6</v>
      </c>
      <c r="N120" s="263">
        <v>0</v>
      </c>
      <c r="O120" s="262"/>
    </row>
    <row r="121" spans="1:15" ht="15.75">
      <c r="A121" s="269"/>
      <c r="B121" s="18"/>
      <c r="C121" s="85">
        <v>1301.5</v>
      </c>
      <c r="D121" s="85">
        <v>25</v>
      </c>
      <c r="E121" s="85">
        <v>40</v>
      </c>
      <c r="F121" s="87">
        <f>C121/($G$6*$C$3*D121*(E121-$H$9)^2)</f>
        <v>0.05108071877027536</v>
      </c>
      <c r="G121" s="84">
        <f t="shared" si="25"/>
        <v>0.05245656434153412</v>
      </c>
      <c r="H121" s="274" t="str">
        <f t="shared" si="22"/>
        <v>Cấu tạo</v>
      </c>
      <c r="I121" s="280">
        <f t="shared" si="23"/>
        <v>1.3077843016307915</v>
      </c>
      <c r="J121" s="18" t="str">
        <f t="shared" si="26"/>
        <v>Thỏa</v>
      </c>
      <c r="K121" s="18">
        <f t="shared" si="24"/>
        <v>0.39120923853488127</v>
      </c>
      <c r="L121" s="18" t="s">
        <v>134</v>
      </c>
      <c r="M121" s="261">
        <v>7</v>
      </c>
      <c r="N121" s="263">
        <v>0</v>
      </c>
      <c r="O121" s="262"/>
    </row>
    <row r="122" spans="1:15" ht="15.75">
      <c r="A122" s="269"/>
      <c r="B122" s="18">
        <v>3769.82</v>
      </c>
      <c r="C122" s="18"/>
      <c r="D122" s="34">
        <v>25</v>
      </c>
      <c r="E122" s="34">
        <v>40</v>
      </c>
      <c r="F122" s="84">
        <f>B122/($G$6*$C$3*D122*(E122-$H$9)^2)</f>
        <v>0.14795629291936954</v>
      </c>
      <c r="G122" s="84">
        <f t="shared" si="25"/>
        <v>0.16090083174796255</v>
      </c>
      <c r="H122" s="273" t="str">
        <f t="shared" si="22"/>
        <v>Cấu tạo</v>
      </c>
      <c r="I122" s="280">
        <f t="shared" si="23"/>
        <v>4.011387030787932</v>
      </c>
      <c r="J122" s="18" t="str">
        <f t="shared" si="26"/>
        <v>Thỏa</v>
      </c>
      <c r="K122" s="18">
        <f t="shared" si="24"/>
        <v>0.6874944691274446</v>
      </c>
      <c r="L122" s="18" t="s">
        <v>142</v>
      </c>
      <c r="M122" s="261">
        <v>7</v>
      </c>
      <c r="N122" s="263">
        <v>5739.09</v>
      </c>
      <c r="O122" s="262"/>
    </row>
    <row r="123" spans="1:15" ht="15.75">
      <c r="A123" s="269" t="s">
        <v>340</v>
      </c>
      <c r="B123" s="18">
        <v>3392.16</v>
      </c>
      <c r="C123" s="18"/>
      <c r="D123" s="34">
        <v>25</v>
      </c>
      <c r="E123" s="34">
        <v>40</v>
      </c>
      <c r="F123" s="84">
        <f>B123/($G$6*$C$3*D123*(E123-$H$9)^2)</f>
        <v>0.13313405377163062</v>
      </c>
      <c r="G123" s="84">
        <f t="shared" si="25"/>
        <v>0.1434184846398221</v>
      </c>
      <c r="H123" s="273" t="str">
        <f t="shared" si="22"/>
        <v>Cấu tạo</v>
      </c>
      <c r="I123" s="280">
        <f t="shared" si="23"/>
        <v>3.5755380690673504</v>
      </c>
      <c r="J123" s="18" t="str">
        <f t="shared" si="26"/>
        <v>Thỏa</v>
      </c>
      <c r="K123" s="18">
        <f t="shared" si="24"/>
        <v>0.6397301993498467</v>
      </c>
      <c r="L123" s="18" t="s">
        <v>142</v>
      </c>
      <c r="M123" s="261">
        <v>8</v>
      </c>
      <c r="N123" s="263">
        <v>5750.77</v>
      </c>
      <c r="O123" s="262"/>
    </row>
    <row r="124" spans="1:15" ht="15.75">
      <c r="A124" s="269"/>
      <c r="B124" s="18"/>
      <c r="C124" s="85">
        <v>2318.48</v>
      </c>
      <c r="D124" s="85">
        <v>25</v>
      </c>
      <c r="E124" s="85">
        <v>40</v>
      </c>
      <c r="F124" s="87">
        <f>C124/($G$6*$C$3*D124*(E124-$H$9)^2)</f>
        <v>0.09099471752171188</v>
      </c>
      <c r="G124" s="84">
        <f t="shared" si="25"/>
        <v>0.09556063500277912</v>
      </c>
      <c r="H124" s="274" t="str">
        <f t="shared" si="22"/>
        <v>Cấu tạo</v>
      </c>
      <c r="I124" s="280">
        <f t="shared" si="23"/>
        <v>2.382403420415268</v>
      </c>
      <c r="J124" s="18" t="str">
        <f t="shared" si="26"/>
        <v>Thỏa</v>
      </c>
      <c r="K124" s="18">
        <f t="shared" si="24"/>
        <v>0.5089757173057827</v>
      </c>
      <c r="L124" s="18" t="s">
        <v>141</v>
      </c>
      <c r="M124" s="261">
        <v>8</v>
      </c>
      <c r="N124" s="263">
        <v>3769.82</v>
      </c>
      <c r="O124" s="262"/>
    </row>
    <row r="125" spans="1:15" ht="15.75">
      <c r="A125" s="269"/>
      <c r="B125" s="18">
        <v>1916.63</v>
      </c>
      <c r="C125" s="18"/>
      <c r="D125" s="34">
        <v>25</v>
      </c>
      <c r="E125" s="34">
        <v>40</v>
      </c>
      <c r="F125" s="86">
        <f>B125/($G$6*$C$3*D125*(E125-$H$9)^2)</f>
        <v>0.07522307953643709</v>
      </c>
      <c r="G125" s="86">
        <f t="shared" si="25"/>
        <v>0.07828754976016206</v>
      </c>
      <c r="H125" s="273" t="str">
        <f t="shared" si="22"/>
        <v>Cấu tạo</v>
      </c>
      <c r="I125" s="280">
        <f t="shared" si="23"/>
        <v>1.9517715251590402</v>
      </c>
      <c r="J125" s="18" t="str">
        <f t="shared" si="26"/>
        <v>Thỏa</v>
      </c>
      <c r="K125" s="18">
        <f t="shared" si="24"/>
        <v>0.4617831808393469</v>
      </c>
      <c r="L125" s="18" t="s">
        <v>134</v>
      </c>
      <c r="M125" s="261">
        <v>9</v>
      </c>
      <c r="N125" s="263">
        <v>3392.16</v>
      </c>
      <c r="O125" s="262"/>
    </row>
    <row r="126" spans="1:14" ht="15.75">
      <c r="A126" s="269" t="s">
        <v>341</v>
      </c>
      <c r="B126" s="18">
        <v>827.16</v>
      </c>
      <c r="C126" s="18"/>
      <c r="D126" s="34">
        <v>25</v>
      </c>
      <c r="E126" s="34">
        <v>40</v>
      </c>
      <c r="F126" s="19">
        <f>B126/($G$6*$C$3*D126*(E126-$H$9)^2)</f>
        <v>0.032464024078387214</v>
      </c>
      <c r="G126" s="19">
        <f>1-SQRT(1-2*F126)</f>
        <v>0.03300881501265718</v>
      </c>
      <c r="H126" s="273" t="str">
        <f aca="true" t="shared" si="27" ref="H126:H153">IF(F126&gt;$J$9,(B126-($J$9*$G$6*$C$3*D126*(E126-$H$9)^2))/($P$4*(E126-$H$7)),"Cấu tạo")</f>
        <v>Cấu tạo</v>
      </c>
      <c r="I126" s="279">
        <f aca="true" t="shared" si="28" ref="I126:I153">IF(F126&lt;=$J$9,(G126*$G$6*$C$3*D126*(E126-$H$9))/$P$3,($J$9*$G$6*$C$3*D126*(E126-$H$9))/$P$3+(($P$4*$M$7)/$P$3))</f>
        <v>0.8229362832061786</v>
      </c>
      <c r="J126" s="18" t="str">
        <f>IF(AND(($M$7+I126)/D126*(E126-$H$9)&gt;$M$9,($M$7+I126)/(D126*(E126-$H$9))&lt;=$P$9),"Thỏa","Không")</f>
        <v>Thỏa</v>
      </c>
      <c r="K126" s="18">
        <f aca="true" t="shared" si="29" ref="K126:K153">(I126+$M$7)/(D126*(E126-$H$9))*100</f>
        <v>0.3380752091184853</v>
      </c>
      <c r="L126" s="18" t="s">
        <v>134</v>
      </c>
      <c r="M126" s="261">
        <v>9</v>
      </c>
      <c r="N126" s="263">
        <v>1916.63</v>
      </c>
    </row>
    <row r="127" spans="1:14" ht="15.75">
      <c r="A127" s="269"/>
      <c r="B127" s="35"/>
      <c r="C127" s="155">
        <v>1214.42</v>
      </c>
      <c r="D127" s="85">
        <v>25</v>
      </c>
      <c r="E127" s="85">
        <v>40</v>
      </c>
      <c r="F127" s="19">
        <f>C127/($G$6*$C$3*D127*(E127-$H$9)^2)</f>
        <v>0.04766303994544587</v>
      </c>
      <c r="G127" s="84">
        <f t="shared" si="25"/>
        <v>0.048856519704251866</v>
      </c>
      <c r="H127" s="273" t="str">
        <f t="shared" si="27"/>
        <v>Cấu tạo</v>
      </c>
      <c r="I127" s="279">
        <f t="shared" si="28"/>
        <v>1.2180322959303331</v>
      </c>
      <c r="J127" s="18" t="str">
        <f aca="true" t="shared" si="30" ref="J127:J153">IF(AND(($M$7+I127)/D127*(E127-$H$9)&gt;$M$9,($M$7+I127)/(D127*(E127-$H$9))&lt;=$P$9),"Thỏa","Không")</f>
        <v>Thỏa</v>
      </c>
      <c r="K127" s="18">
        <f t="shared" si="29"/>
        <v>0.3813734022937351</v>
      </c>
      <c r="L127" s="18" t="s">
        <v>134</v>
      </c>
      <c r="M127" s="261">
        <v>10</v>
      </c>
      <c r="N127" s="263">
        <v>827.16</v>
      </c>
    </row>
    <row r="128" spans="1:14" ht="15.75">
      <c r="A128" s="269"/>
      <c r="B128" s="86">
        <v>4783.59</v>
      </c>
      <c r="C128" s="18"/>
      <c r="D128" s="34">
        <v>25</v>
      </c>
      <c r="E128" s="34">
        <v>40</v>
      </c>
      <c r="F128" s="84">
        <f>B128/($G$6*$C$3*D128*(E128-$H$9)^2)</f>
        <v>0.18774430695528352</v>
      </c>
      <c r="G128" s="84">
        <f t="shared" si="25"/>
        <v>0.20973967195016496</v>
      </c>
      <c r="H128" s="273" t="str">
        <f t="shared" si="27"/>
        <v>Cấu tạo</v>
      </c>
      <c r="I128" s="280">
        <f t="shared" si="28"/>
        <v>5.2289785625254295</v>
      </c>
      <c r="J128" s="18" t="str">
        <f t="shared" si="30"/>
        <v>Thỏa</v>
      </c>
      <c r="K128" s="18">
        <f t="shared" si="29"/>
        <v>0.8209291575370333</v>
      </c>
      <c r="L128" s="18" t="s">
        <v>201</v>
      </c>
      <c r="M128" s="261">
        <v>10</v>
      </c>
      <c r="N128" s="263">
        <v>4783.59</v>
      </c>
    </row>
    <row r="129" spans="1:14" ht="15.75">
      <c r="A129" s="269" t="s">
        <v>342</v>
      </c>
      <c r="B129" s="86">
        <v>3433.05</v>
      </c>
      <c r="C129" s="18"/>
      <c r="D129" s="34">
        <v>20</v>
      </c>
      <c r="E129" s="34">
        <v>30</v>
      </c>
      <c r="F129" s="84">
        <f>B129/($G$6*$C$3*D129*(E129-$H$9)^2)</f>
        <v>0.3195191925114652</v>
      </c>
      <c r="G129" s="84">
        <f>1-SQRT(1-2*F129)</f>
        <v>0.3991991886015219</v>
      </c>
      <c r="H129" s="273" t="str">
        <f t="shared" si="27"/>
        <v>Cấu tạo</v>
      </c>
      <c r="I129" s="280">
        <f t="shared" si="28"/>
        <v>5.780546822088824</v>
      </c>
      <c r="J129" s="18" t="str">
        <f t="shared" si="30"/>
        <v>Thỏa</v>
      </c>
      <c r="K129" s="18">
        <f t="shared" si="29"/>
        <v>1.517461664545061</v>
      </c>
      <c r="L129" s="18" t="s">
        <v>200</v>
      </c>
      <c r="M129" s="261">
        <v>11</v>
      </c>
      <c r="N129" s="263">
        <v>3433.05</v>
      </c>
    </row>
    <row r="130" spans="1:14" ht="15.75">
      <c r="A130" s="269"/>
      <c r="B130" s="35"/>
      <c r="C130" s="35">
        <v>1444.36</v>
      </c>
      <c r="D130" s="85">
        <v>20</v>
      </c>
      <c r="E130" s="85">
        <v>30</v>
      </c>
      <c r="F130" s="19">
        <f>C130/($G$6*$C$3*D130*(E130-$H$9)^2)</f>
        <v>0.13442878516067633</v>
      </c>
      <c r="G130" s="84">
        <f t="shared" si="25"/>
        <v>0.14493133043091366</v>
      </c>
      <c r="H130" s="274" t="str">
        <f t="shared" si="27"/>
        <v>Cấu tạo</v>
      </c>
      <c r="I130" s="280">
        <f t="shared" si="28"/>
        <v>2.0986574258290696</v>
      </c>
      <c r="J130" s="18" t="str">
        <f t="shared" si="30"/>
        <v>Thỏa</v>
      </c>
      <c r="K130" s="18">
        <f t="shared" si="29"/>
        <v>0.8227655520432207</v>
      </c>
      <c r="L130" s="18" t="s">
        <v>134</v>
      </c>
      <c r="M130" s="261">
        <v>11</v>
      </c>
      <c r="N130" s="263">
        <v>1259.75</v>
      </c>
    </row>
    <row r="131" spans="1:14" ht="15.75">
      <c r="A131" s="269"/>
      <c r="B131" s="18">
        <v>1259.75</v>
      </c>
      <c r="C131" s="18"/>
      <c r="D131" s="34">
        <v>20</v>
      </c>
      <c r="E131" s="34">
        <v>30</v>
      </c>
      <c r="F131" s="84">
        <f>B131/($G$6*$C$3*D131*(E131-$H$9)^2)</f>
        <v>0.1172468512740328</v>
      </c>
      <c r="G131" s="84">
        <f t="shared" si="25"/>
        <v>0.1250678326567628</v>
      </c>
      <c r="H131" s="273" t="str">
        <f t="shared" si="27"/>
        <v>Cấu tạo</v>
      </c>
      <c r="I131" s="280">
        <f t="shared" si="28"/>
        <v>1.8110268839530173</v>
      </c>
      <c r="J131" s="18" t="str">
        <f t="shared" si="30"/>
        <v>Thỏa</v>
      </c>
      <c r="K131" s="18">
        <f t="shared" si="29"/>
        <v>0.7684956384817013</v>
      </c>
      <c r="L131" s="18" t="s">
        <v>134</v>
      </c>
      <c r="M131" s="261">
        <v>12</v>
      </c>
      <c r="N131" s="263">
        <v>2646.45</v>
      </c>
    </row>
    <row r="132" spans="1:14" ht="15.75">
      <c r="A132" s="269" t="s">
        <v>343</v>
      </c>
      <c r="B132" s="18">
        <v>1646.45</v>
      </c>
      <c r="C132" s="18"/>
      <c r="D132" s="34">
        <v>20</v>
      </c>
      <c r="E132" s="34">
        <v>30</v>
      </c>
      <c r="F132" s="84">
        <f>B132/($G$6*$C$3*D132*(E132-$H$9)^2)</f>
        <v>0.15323760927178512</v>
      </c>
      <c r="G132" s="84">
        <f t="shared" si="25"/>
        <v>0.1672186472690267</v>
      </c>
      <c r="H132" s="273" t="str">
        <f t="shared" si="27"/>
        <v>Cấu tạo</v>
      </c>
      <c r="I132" s="280">
        <f t="shared" si="28"/>
        <v>2.42138573340096</v>
      </c>
      <c r="J132" s="18" t="str">
        <f t="shared" si="30"/>
        <v>Thỏa</v>
      </c>
      <c r="K132" s="18">
        <f t="shared" si="29"/>
        <v>0.8836576855473508</v>
      </c>
      <c r="L132" s="18" t="s">
        <v>197</v>
      </c>
      <c r="M132" s="261">
        <v>12</v>
      </c>
      <c r="N132" s="263">
        <v>0</v>
      </c>
    </row>
    <row r="133" spans="1:14" ht="15.75">
      <c r="A133" s="269"/>
      <c r="B133" s="35"/>
      <c r="C133" s="35">
        <v>968.36</v>
      </c>
      <c r="D133" s="85">
        <v>20</v>
      </c>
      <c r="E133" s="85">
        <v>30</v>
      </c>
      <c r="F133" s="19">
        <f>C133/($G$6*$C$3*D133*(E133-$H$9)^2)</f>
        <v>0.09012674014663417</v>
      </c>
      <c r="G133" s="84">
        <f t="shared" si="25"/>
        <v>0.09460145808228093</v>
      </c>
      <c r="H133" s="274" t="str">
        <f t="shared" si="27"/>
        <v>Cấu tạo</v>
      </c>
      <c r="I133" s="280">
        <f t="shared" si="28"/>
        <v>1.3698628992664574</v>
      </c>
      <c r="J133" s="18" t="str">
        <f t="shared" si="30"/>
        <v>Thỏa</v>
      </c>
      <c r="K133" s="18">
        <f t="shared" si="29"/>
        <v>0.6852571508049919</v>
      </c>
      <c r="L133" s="18" t="s">
        <v>134</v>
      </c>
      <c r="M133" s="261">
        <v>13</v>
      </c>
      <c r="N133" s="263">
        <v>0</v>
      </c>
    </row>
    <row r="134" spans="1:14" ht="15.75">
      <c r="A134" s="269"/>
      <c r="B134" s="18">
        <v>0</v>
      </c>
      <c r="C134" s="18"/>
      <c r="D134" s="34">
        <v>20</v>
      </c>
      <c r="E134" s="34">
        <v>30</v>
      </c>
      <c r="F134" s="86">
        <f>B134/($G$6*$C$3*D134*(E134-$H$9)^2)</f>
        <v>0</v>
      </c>
      <c r="G134" s="86">
        <f t="shared" si="25"/>
        <v>0</v>
      </c>
      <c r="H134" s="273" t="str">
        <f t="shared" si="27"/>
        <v>Cấu tạo</v>
      </c>
      <c r="I134" s="280">
        <f t="shared" si="28"/>
        <v>0</v>
      </c>
      <c r="J134" s="18" t="str">
        <f t="shared" si="30"/>
        <v>Thỏa</v>
      </c>
      <c r="K134" s="18">
        <f t="shared" si="29"/>
        <v>0.4267924528301887</v>
      </c>
      <c r="L134" s="18" t="s">
        <v>134</v>
      </c>
      <c r="M134" s="261">
        <v>13</v>
      </c>
      <c r="N134" s="263">
        <v>3959.94</v>
      </c>
    </row>
    <row r="135" spans="1:14" ht="18.75">
      <c r="A135" s="91" t="s">
        <v>293</v>
      </c>
      <c r="B135" s="75" t="s">
        <v>361</v>
      </c>
      <c r="C135" s="75" t="s">
        <v>360</v>
      </c>
      <c r="D135" s="212" t="s">
        <v>7</v>
      </c>
      <c r="E135" s="212" t="s">
        <v>8</v>
      </c>
      <c r="F135" s="80" t="s">
        <v>133</v>
      </c>
      <c r="G135" s="81" t="s">
        <v>29</v>
      </c>
      <c r="H135" s="79" t="s">
        <v>39</v>
      </c>
      <c r="I135" s="278" t="s">
        <v>24</v>
      </c>
      <c r="J135" s="75" t="s">
        <v>37</v>
      </c>
      <c r="K135" s="80" t="s">
        <v>30</v>
      </c>
      <c r="L135" s="75" t="s">
        <v>41</v>
      </c>
      <c r="M135" s="261">
        <v>14</v>
      </c>
      <c r="N135" s="263">
        <v>2656.37</v>
      </c>
    </row>
    <row r="136" spans="1:14" ht="15.75">
      <c r="A136" s="269" t="s">
        <v>344</v>
      </c>
      <c r="B136" s="18">
        <v>0</v>
      </c>
      <c r="C136" s="18"/>
      <c r="D136" s="34">
        <v>25</v>
      </c>
      <c r="E136" s="34">
        <v>35</v>
      </c>
      <c r="F136" s="86">
        <f>B136/($G$6*$C$3*D136*(E136-$H$9)^2)</f>
        <v>0</v>
      </c>
      <c r="G136" s="86">
        <f t="shared" si="25"/>
        <v>0</v>
      </c>
      <c r="H136" s="273" t="str">
        <f t="shared" si="27"/>
        <v>Cấu tạo</v>
      </c>
      <c r="I136" s="280">
        <f t="shared" si="28"/>
        <v>0</v>
      </c>
      <c r="J136" s="18" t="str">
        <f t="shared" si="30"/>
        <v>Thỏa</v>
      </c>
      <c r="K136" s="18">
        <f t="shared" si="29"/>
        <v>0.28723809523809524</v>
      </c>
      <c r="L136" s="18" t="s">
        <v>134</v>
      </c>
      <c r="M136" s="261">
        <v>14</v>
      </c>
      <c r="N136" s="263">
        <v>704.28</v>
      </c>
    </row>
    <row r="137" spans="1:14" ht="15.75">
      <c r="A137" s="269"/>
      <c r="B137" s="35"/>
      <c r="C137" s="35">
        <v>1660.94</v>
      </c>
      <c r="D137" s="85">
        <v>25</v>
      </c>
      <c r="E137" s="85">
        <v>35</v>
      </c>
      <c r="F137" s="19">
        <f>C137/($G$6*$C$3*D137*(E137-$H$9)^2)</f>
        <v>0.08752485356282431</v>
      </c>
      <c r="G137" s="84">
        <f t="shared" si="25"/>
        <v>0.0917322570550293</v>
      </c>
      <c r="H137" s="274" t="str">
        <f t="shared" si="27"/>
        <v>Cấu tạo</v>
      </c>
      <c r="I137" s="280">
        <f t="shared" si="28"/>
        <v>1.9736768431996148</v>
      </c>
      <c r="J137" s="18" t="str">
        <f t="shared" si="30"/>
        <v>Thỏa</v>
      </c>
      <c r="K137" s="18">
        <f t="shared" si="29"/>
        <v>0.537863726120586</v>
      </c>
      <c r="L137" s="18" t="s">
        <v>134</v>
      </c>
      <c r="M137" s="261">
        <v>15</v>
      </c>
      <c r="N137" s="263">
        <v>569.7</v>
      </c>
    </row>
    <row r="138" spans="1:14" ht="15.75">
      <c r="A138" s="269"/>
      <c r="B138" s="18">
        <v>3959.94</v>
      </c>
      <c r="C138" s="18"/>
      <c r="D138" s="34">
        <v>25</v>
      </c>
      <c r="E138" s="34">
        <v>35</v>
      </c>
      <c r="F138" s="84">
        <f>B138/($G$6*$C$3*D138*(E138-$H$9)^2)</f>
        <v>0.20867290125926916</v>
      </c>
      <c r="G138" s="84">
        <f t="shared" si="25"/>
        <v>0.23668211243187698</v>
      </c>
      <c r="H138" s="273" t="str">
        <f t="shared" si="27"/>
        <v>Cấu tạo</v>
      </c>
      <c r="I138" s="280">
        <f t="shared" si="28"/>
        <v>5.0923635752921035</v>
      </c>
      <c r="J138" s="18" t="str">
        <f t="shared" si="30"/>
        <v>Thỏa</v>
      </c>
      <c r="K138" s="18">
        <f t="shared" si="29"/>
        <v>0.9338874381323305</v>
      </c>
      <c r="L138" s="18" t="s">
        <v>140</v>
      </c>
      <c r="M138" s="261">
        <v>15</v>
      </c>
      <c r="N138" s="263">
        <v>784.9</v>
      </c>
    </row>
    <row r="139" spans="1:14" ht="15.75">
      <c r="A139" s="269" t="s">
        <v>345</v>
      </c>
      <c r="B139" s="18">
        <v>2656.37</v>
      </c>
      <c r="C139" s="18"/>
      <c r="D139" s="34">
        <v>20</v>
      </c>
      <c r="E139" s="34">
        <v>30</v>
      </c>
      <c r="F139" s="84">
        <f>B139/($G$6*$C$3*D139*(E139-$H$9)^2)</f>
        <v>0.2472324019200655</v>
      </c>
      <c r="G139" s="84">
        <f t="shared" si="25"/>
        <v>0.28899001683529857</v>
      </c>
      <c r="H139" s="273" t="str">
        <f t="shared" si="27"/>
        <v>Cấu tạo</v>
      </c>
      <c r="I139" s="280">
        <f t="shared" si="28"/>
        <v>4.184678654495422</v>
      </c>
      <c r="J139" s="18" t="str">
        <f t="shared" si="30"/>
        <v>Thỏa</v>
      </c>
      <c r="K139" s="18">
        <f t="shared" si="29"/>
        <v>1.2163544631123437</v>
      </c>
      <c r="L139" s="18" t="s">
        <v>167</v>
      </c>
      <c r="M139" s="261">
        <v>16</v>
      </c>
      <c r="N139" s="263">
        <v>782.29</v>
      </c>
    </row>
    <row r="140" spans="1:14" ht="15.75">
      <c r="A140" s="269"/>
      <c r="B140" s="88"/>
      <c r="C140" s="85">
        <v>960.51</v>
      </c>
      <c r="D140" s="85">
        <v>20</v>
      </c>
      <c r="E140" s="85">
        <v>30</v>
      </c>
      <c r="F140" s="87">
        <f>C140/($G$6*$C$3*D140*(E140-$H$9)^2)</f>
        <v>0.08939612868999504</v>
      </c>
      <c r="G140" s="84">
        <f t="shared" si="25"/>
        <v>0.09379486725134356</v>
      </c>
      <c r="H140" s="274" t="str">
        <f t="shared" si="27"/>
        <v>Cấu tạo</v>
      </c>
      <c r="I140" s="280">
        <f t="shared" si="28"/>
        <v>1.3581831759663303</v>
      </c>
      <c r="J140" s="18" t="str">
        <f t="shared" si="30"/>
        <v>Thỏa</v>
      </c>
      <c r="K140" s="18">
        <f t="shared" si="29"/>
        <v>0.6830534294276095</v>
      </c>
      <c r="L140" s="18" t="s">
        <v>134</v>
      </c>
      <c r="M140" s="261">
        <v>16</v>
      </c>
      <c r="N140" s="263">
        <v>1380.72</v>
      </c>
    </row>
    <row r="141" spans="1:14" ht="15.75">
      <c r="A141" s="269"/>
      <c r="B141" s="34">
        <v>704.28</v>
      </c>
      <c r="C141" s="75"/>
      <c r="D141" s="34">
        <v>20</v>
      </c>
      <c r="E141" s="34">
        <v>30</v>
      </c>
      <c r="F141" s="84">
        <f>B141/($G$6*$C$3*D141*(E141-$H$9)^2)</f>
        <v>0.06554841231615464</v>
      </c>
      <c r="G141" s="84">
        <f t="shared" si="25"/>
        <v>0.06785023983927851</v>
      </c>
      <c r="H141" s="273" t="str">
        <f t="shared" si="27"/>
        <v>Cấu tạo</v>
      </c>
      <c r="I141" s="280">
        <f t="shared" si="28"/>
        <v>0.9824957051012667</v>
      </c>
      <c r="J141" s="18" t="str">
        <f t="shared" si="30"/>
        <v>Thỏa</v>
      </c>
      <c r="K141" s="18">
        <f t="shared" si="29"/>
        <v>0.6121690009625032</v>
      </c>
      <c r="L141" s="18" t="s">
        <v>134</v>
      </c>
      <c r="M141" s="261">
        <v>17</v>
      </c>
      <c r="N141" s="263">
        <v>444.09</v>
      </c>
    </row>
    <row r="142" spans="1:14" ht="15.75">
      <c r="A142" s="269" t="s">
        <v>346</v>
      </c>
      <c r="B142" s="18">
        <v>569.7</v>
      </c>
      <c r="C142" s="18"/>
      <c r="D142" s="34">
        <v>20</v>
      </c>
      <c r="E142" s="34">
        <v>30</v>
      </c>
      <c r="F142" s="84">
        <f>B142/($G$6*$C$3*D142*(E142-$H$9)^2)</f>
        <v>0.053022846732142484</v>
      </c>
      <c r="G142" s="84">
        <f t="shared" si="25"/>
        <v>0.054508431272010216</v>
      </c>
      <c r="H142" s="273" t="str">
        <f t="shared" si="27"/>
        <v>Cấu tạo</v>
      </c>
      <c r="I142" s="280">
        <f t="shared" si="28"/>
        <v>0.7893015521155908</v>
      </c>
      <c r="J142" s="18" t="str">
        <f t="shared" si="30"/>
        <v>Thỏa</v>
      </c>
      <c r="K142" s="18">
        <f t="shared" si="29"/>
        <v>0.5757172739840738</v>
      </c>
      <c r="L142" s="18" t="s">
        <v>134</v>
      </c>
      <c r="M142" s="261">
        <v>17</v>
      </c>
      <c r="N142" s="263">
        <v>10717.9</v>
      </c>
    </row>
    <row r="143" spans="1:14" ht="15.75">
      <c r="A143" s="269"/>
      <c r="B143" s="18"/>
      <c r="C143" s="85">
        <v>923.16</v>
      </c>
      <c r="D143" s="85">
        <v>20</v>
      </c>
      <c r="E143" s="85">
        <v>30</v>
      </c>
      <c r="F143" s="87">
        <f>C143/($G$6*$C$3*D143*(E143-$H$9)^2)</f>
        <v>0.08591990730076295</v>
      </c>
      <c r="G143" s="84">
        <f t="shared" si="25"/>
        <v>0.08996693170057046</v>
      </c>
      <c r="H143" s="274" t="str">
        <f t="shared" si="27"/>
        <v>Cấu tạo</v>
      </c>
      <c r="I143" s="280">
        <f t="shared" si="28"/>
        <v>1.3027533020712965</v>
      </c>
      <c r="J143" s="18" t="str">
        <f t="shared" si="30"/>
        <v>Thỏa</v>
      </c>
      <c r="K143" s="18">
        <f t="shared" si="29"/>
        <v>0.6725949626549617</v>
      </c>
      <c r="L143" s="18" t="s">
        <v>134</v>
      </c>
      <c r="M143" s="261">
        <v>18</v>
      </c>
      <c r="N143" s="263">
        <v>13850.4</v>
      </c>
    </row>
    <row r="144" spans="1:14" ht="15.75">
      <c r="A144" s="269"/>
      <c r="B144" s="18">
        <v>784.9</v>
      </c>
      <c r="C144" s="18"/>
      <c r="D144" s="34">
        <v>20</v>
      </c>
      <c r="E144" s="34">
        <v>30</v>
      </c>
      <c r="F144" s="84">
        <f>B144/($G$6*$C$3*D144*(E144-$H$9)^2)</f>
        <v>0.07305183851160019</v>
      </c>
      <c r="G144" s="84">
        <f t="shared" si="25"/>
        <v>0.07593489245789631</v>
      </c>
      <c r="H144" s="273" t="str">
        <f t="shared" si="27"/>
        <v>Cấu tạo</v>
      </c>
      <c r="I144" s="280">
        <f t="shared" si="28"/>
        <v>1.0995643623947877</v>
      </c>
      <c r="J144" s="18" t="str">
        <f t="shared" si="30"/>
        <v>Thỏa</v>
      </c>
      <c r="K144" s="18">
        <f t="shared" si="29"/>
        <v>0.6342574268669411</v>
      </c>
      <c r="L144" s="18" t="s">
        <v>134</v>
      </c>
      <c r="M144" s="261">
        <v>18</v>
      </c>
      <c r="N144" s="263">
        <v>0</v>
      </c>
    </row>
    <row r="145" spans="1:12" ht="15.75">
      <c r="A145" s="269" t="s">
        <v>347</v>
      </c>
      <c r="B145" s="18">
        <v>782.29</v>
      </c>
      <c r="C145" s="18"/>
      <c r="D145" s="34">
        <v>20</v>
      </c>
      <c r="E145" s="34">
        <v>30</v>
      </c>
      <c r="F145" s="84">
        <f>B145/($G$6*$C$3*D145*(E145-$H$9)^2)</f>
        <v>0.07280892183620807</v>
      </c>
      <c r="G145" s="84">
        <f t="shared" si="25"/>
        <v>0.0756720515273901</v>
      </c>
      <c r="H145" s="273" t="str">
        <f t="shared" si="27"/>
        <v>Cấu tạo</v>
      </c>
      <c r="I145" s="280">
        <f t="shared" si="28"/>
        <v>1.0957583318492967</v>
      </c>
      <c r="J145" s="18" t="str">
        <f t="shared" si="30"/>
        <v>Thỏa</v>
      </c>
      <c r="K145" s="18">
        <f t="shared" si="29"/>
        <v>0.6335393078960938</v>
      </c>
      <c r="L145" s="18" t="s">
        <v>134</v>
      </c>
    </row>
    <row r="146" spans="1:12" ht="15.75">
      <c r="A146" s="269"/>
      <c r="B146" s="18"/>
      <c r="C146" s="85">
        <v>264.43</v>
      </c>
      <c r="D146" s="85">
        <v>20</v>
      </c>
      <c r="E146" s="85">
        <v>30</v>
      </c>
      <c r="F146" s="87">
        <f>C146/($G$6*$C$3*D146*(E146-$H$9)^2)</f>
        <v>0.024610902863578088</v>
      </c>
      <c r="G146" s="84">
        <f t="shared" si="25"/>
        <v>0.024921441999238847</v>
      </c>
      <c r="H146" s="274" t="str">
        <f t="shared" si="27"/>
        <v>Cấu tạo</v>
      </c>
      <c r="I146" s="280">
        <f t="shared" si="28"/>
        <v>0.3608713806639782</v>
      </c>
      <c r="J146" s="18" t="str">
        <f t="shared" si="30"/>
        <v>Thỏa</v>
      </c>
      <c r="K146" s="18">
        <f t="shared" si="29"/>
        <v>0.49488139257810904</v>
      </c>
      <c r="L146" s="18" t="s">
        <v>134</v>
      </c>
    </row>
    <row r="147" spans="1:12" ht="15.75">
      <c r="A147" s="269"/>
      <c r="B147" s="18">
        <v>1380.72</v>
      </c>
      <c r="C147" s="18"/>
      <c r="D147" s="34">
        <v>20</v>
      </c>
      <c r="E147" s="34">
        <v>30</v>
      </c>
      <c r="F147" s="84">
        <f>B147/($G$6*$C$3*D147*(E147-$H$9)^2)</f>
        <v>0.12850571342812667</v>
      </c>
      <c r="G147" s="84">
        <f t="shared" si="25"/>
        <v>0.13803215074821573</v>
      </c>
      <c r="H147" s="273" t="str">
        <f t="shared" si="27"/>
        <v>Cấu tạo</v>
      </c>
      <c r="I147" s="280">
        <f t="shared" si="28"/>
        <v>1.9987548400308597</v>
      </c>
      <c r="J147" s="18" t="str">
        <f t="shared" si="30"/>
        <v>Thỏa</v>
      </c>
      <c r="K147" s="18">
        <f t="shared" si="29"/>
        <v>0.8039160075529924</v>
      </c>
      <c r="L147" s="18" t="s">
        <v>134</v>
      </c>
    </row>
    <row r="148" spans="1:12" ht="15.75">
      <c r="A148" s="269" t="s">
        <v>348</v>
      </c>
      <c r="B148" s="18">
        <v>444.09</v>
      </c>
      <c r="C148" s="18"/>
      <c r="D148" s="34">
        <v>30</v>
      </c>
      <c r="E148" s="34">
        <v>40</v>
      </c>
      <c r="F148" s="84">
        <f>B148/($G$6*$C$3*D148*(E148-$H$9)^2)</f>
        <v>0.014524546291901384</v>
      </c>
      <c r="G148" s="84">
        <f t="shared" si="25"/>
        <v>0.014631587975240001</v>
      </c>
      <c r="H148" s="273" t="str">
        <f t="shared" si="27"/>
        <v>Cấu tạo</v>
      </c>
      <c r="I148" s="280">
        <f t="shared" si="28"/>
        <v>0.4377326948985417</v>
      </c>
      <c r="J148" s="18" t="str">
        <f t="shared" si="30"/>
        <v>Thỏa</v>
      </c>
      <c r="K148" s="18">
        <f t="shared" si="29"/>
        <v>0.2465509310409627</v>
      </c>
      <c r="L148" s="18" t="s">
        <v>356</v>
      </c>
    </row>
    <row r="149" spans="1:12" ht="15.75">
      <c r="A149" s="269"/>
      <c r="B149" s="18"/>
      <c r="C149" s="85">
        <v>5479.14</v>
      </c>
      <c r="D149" s="85">
        <v>30</v>
      </c>
      <c r="E149" s="85">
        <v>40</v>
      </c>
      <c r="F149" s="87">
        <f>C149/($G$6*$C$3*D149*(E149-$H$9)^2)</f>
        <v>0.17920246474770557</v>
      </c>
      <c r="G149" s="84">
        <f t="shared" si="25"/>
        <v>0.19900370131654865</v>
      </c>
      <c r="H149" s="274" t="str">
        <f t="shared" si="27"/>
        <v>Cấu tạo</v>
      </c>
      <c r="I149" s="280">
        <f t="shared" si="28"/>
        <v>5.95358662501214</v>
      </c>
      <c r="J149" s="18" t="str">
        <f t="shared" si="30"/>
        <v>Thỏa</v>
      </c>
      <c r="K149" s="18">
        <f t="shared" si="29"/>
        <v>0.7502818835627525</v>
      </c>
      <c r="L149" s="18" t="s">
        <v>355</v>
      </c>
    </row>
    <row r="150" spans="1:12" ht="15.75">
      <c r="A150" s="269"/>
      <c r="B150" s="18">
        <v>10717.9</v>
      </c>
      <c r="C150" s="18"/>
      <c r="D150" s="34">
        <v>30</v>
      </c>
      <c r="E150" s="34">
        <v>40</v>
      </c>
      <c r="F150" s="84">
        <f>B150/($G$6*$C$3*D150*(E150-$H$9)^2)</f>
        <v>0.35054298611085555</v>
      </c>
      <c r="G150" s="84">
        <f t="shared" si="25"/>
        <v>0.4532696937444487</v>
      </c>
      <c r="H150" s="273" t="str">
        <f t="shared" si="27"/>
        <v>Cấu tạo</v>
      </c>
      <c r="I150" s="280">
        <f t="shared" si="28"/>
        <v>13.560453239549323</v>
      </c>
      <c r="J150" s="18" t="str">
        <f t="shared" si="30"/>
        <v>Thỏa</v>
      </c>
      <c r="K150" s="18">
        <f t="shared" si="29"/>
        <v>1.4449728985889794</v>
      </c>
      <c r="L150" s="18" t="s">
        <v>357</v>
      </c>
    </row>
    <row r="151" spans="1:12" ht="15.75">
      <c r="A151" s="269" t="s">
        <v>349</v>
      </c>
      <c r="B151" s="18">
        <v>13850.4</v>
      </c>
      <c r="C151" s="18"/>
      <c r="D151" s="34">
        <v>30</v>
      </c>
      <c r="E151" s="34">
        <v>40</v>
      </c>
      <c r="F151" s="84">
        <f>B151/($G$6*$C$3*D151*(E151-$H$9)^2)</f>
        <v>0.4529955098321307</v>
      </c>
      <c r="G151" s="84">
        <f t="shared" si="25"/>
        <v>0.693391160701883</v>
      </c>
      <c r="H151" s="273" t="s">
        <v>350</v>
      </c>
      <c r="I151" s="280">
        <f>IF(F151&lt;=$J$9,(G151*$G$6*$C$3*D151*(E151-$H$9))/$P$3,($J$9*$G$6*$C$3*D151*(E151-$H$9))/$P$3+(($P$4*$M$7)/$P$3))</f>
        <v>15.694716964285714</v>
      </c>
      <c r="J151" s="18" t="str">
        <f t="shared" si="30"/>
        <v>Thỏa</v>
      </c>
      <c r="K151" s="18">
        <f t="shared" si="29"/>
        <v>1.6398828277886497</v>
      </c>
      <c r="L151" s="18" t="s">
        <v>358</v>
      </c>
    </row>
    <row r="152" spans="1:12" ht="15.75">
      <c r="A152" s="269"/>
      <c r="B152" s="18"/>
      <c r="C152" s="85">
        <v>6763.28</v>
      </c>
      <c r="D152" s="85">
        <v>30</v>
      </c>
      <c r="E152" s="85">
        <v>35</v>
      </c>
      <c r="F152" s="87">
        <f>C152/($G$6*$C$3*D152*(E152-$H$9)^2)</f>
        <v>0.2969980310368317</v>
      </c>
      <c r="G152" s="84">
        <f t="shared" si="25"/>
        <v>0.3628156170100082</v>
      </c>
      <c r="H152" s="274" t="str">
        <f t="shared" si="27"/>
        <v>Cấu tạo</v>
      </c>
      <c r="I152" s="280">
        <f t="shared" si="28"/>
        <v>9.36744571167715</v>
      </c>
      <c r="J152" s="18" t="str">
        <f t="shared" si="30"/>
        <v>Thỏa</v>
      </c>
      <c r="K152" s="18">
        <f t="shared" si="29"/>
        <v>1.2306291758388517</v>
      </c>
      <c r="L152" s="18" t="s">
        <v>359</v>
      </c>
    </row>
    <row r="153" spans="1:12" ht="15.75">
      <c r="A153" s="269"/>
      <c r="B153" s="18">
        <v>0</v>
      </c>
      <c r="C153" s="18"/>
      <c r="D153" s="34">
        <v>30</v>
      </c>
      <c r="E153" s="34">
        <v>30</v>
      </c>
      <c r="F153" s="86">
        <f>B153/($G$6*$C$3*D153*(E153-$H$9)^2)</f>
        <v>0</v>
      </c>
      <c r="G153" s="86">
        <f t="shared" si="25"/>
        <v>0</v>
      </c>
      <c r="H153" s="273" t="str">
        <f t="shared" si="27"/>
        <v>Cấu tạo</v>
      </c>
      <c r="I153" s="280">
        <f t="shared" si="28"/>
        <v>0</v>
      </c>
      <c r="J153" s="18" t="str">
        <f t="shared" si="30"/>
        <v>Thỏa</v>
      </c>
      <c r="K153" s="18">
        <f t="shared" si="29"/>
        <v>0.28452830188679246</v>
      </c>
      <c r="L153" s="18" t="s">
        <v>134</v>
      </c>
    </row>
  </sheetData>
  <sheetProtection deleteColumns="0" deleteRows="0"/>
  <mergeCells count="71">
    <mergeCell ref="A151:A153"/>
    <mergeCell ref="A139:A141"/>
    <mergeCell ref="A142:A144"/>
    <mergeCell ref="A145:A147"/>
    <mergeCell ref="A148:A150"/>
    <mergeCell ref="A126:A128"/>
    <mergeCell ref="A129:A131"/>
    <mergeCell ref="A132:A134"/>
    <mergeCell ref="A136:A138"/>
    <mergeCell ref="A120:A122"/>
    <mergeCell ref="A123:A125"/>
    <mergeCell ref="A96:L96"/>
    <mergeCell ref="A4:B4"/>
    <mergeCell ref="A101:A103"/>
    <mergeCell ref="A104:A106"/>
    <mergeCell ref="A14:A16"/>
    <mergeCell ref="A17:A19"/>
    <mergeCell ref="A20:A22"/>
    <mergeCell ref="A57:A59"/>
    <mergeCell ref="A98:A100"/>
    <mergeCell ref="A6:B6"/>
    <mergeCell ref="A5:B5"/>
    <mergeCell ref="A26:A28"/>
    <mergeCell ref="A29:A31"/>
    <mergeCell ref="A32:A34"/>
    <mergeCell ref="A35:A37"/>
    <mergeCell ref="A11:A13"/>
    <mergeCell ref="A60:A62"/>
    <mergeCell ref="A76:A78"/>
    <mergeCell ref="A1:B1"/>
    <mergeCell ref="I7:K7"/>
    <mergeCell ref="L2:M2"/>
    <mergeCell ref="L3:M3"/>
    <mergeCell ref="L4:M4"/>
    <mergeCell ref="L5:M5"/>
    <mergeCell ref="A3:B3"/>
    <mergeCell ref="A2:B2"/>
    <mergeCell ref="M10:N10"/>
    <mergeCell ref="A107:A109"/>
    <mergeCell ref="A110:A112"/>
    <mergeCell ref="A113:A115"/>
    <mergeCell ref="A23:A25"/>
    <mergeCell ref="A42:A44"/>
    <mergeCell ref="A45:A47"/>
    <mergeCell ref="A48:A50"/>
    <mergeCell ref="A51:A53"/>
    <mergeCell ref="A54:A56"/>
    <mergeCell ref="Q11:Q12"/>
    <mergeCell ref="W11:W12"/>
    <mergeCell ref="X11:X12"/>
    <mergeCell ref="A117:A119"/>
    <mergeCell ref="Q13:Q14"/>
    <mergeCell ref="W13:W14"/>
    <mergeCell ref="X13:X14"/>
    <mergeCell ref="Q15:Q16"/>
    <mergeCell ref="W15:W16"/>
    <mergeCell ref="X15:X16"/>
    <mergeCell ref="Q17:Q18"/>
    <mergeCell ref="W17:W18"/>
    <mergeCell ref="X17:X18"/>
    <mergeCell ref="A39:A41"/>
    <mergeCell ref="A9:F9"/>
    <mergeCell ref="A90:A92"/>
    <mergeCell ref="A93:A95"/>
    <mergeCell ref="A80:A82"/>
    <mergeCell ref="A83:A85"/>
    <mergeCell ref="A87:A89"/>
    <mergeCell ref="A63:A65"/>
    <mergeCell ref="A67:A69"/>
    <mergeCell ref="A70:A72"/>
    <mergeCell ref="A73:A75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3"/>
  <sheetViews>
    <sheetView workbookViewId="0" topLeftCell="A1">
      <selection activeCell="B22" sqref="B22"/>
    </sheetView>
  </sheetViews>
  <sheetFormatPr defaultColWidth="9.140625" defaultRowHeight="17.25" customHeight="1"/>
  <cols>
    <col min="1" max="1" width="14.28125" style="0" customWidth="1"/>
    <col min="2" max="2" width="19.28125" style="0" customWidth="1"/>
    <col min="3" max="3" width="9.00390625" style="0" customWidth="1"/>
    <col min="4" max="4" width="5.8515625" style="0" customWidth="1"/>
    <col min="5" max="5" width="4.8515625" style="0" customWidth="1"/>
    <col min="7" max="7" width="10.00390625" style="0" customWidth="1"/>
    <col min="8" max="8" width="11.00390625" style="0" customWidth="1"/>
    <col min="9" max="9" width="11.8515625" style="0" customWidth="1"/>
    <col min="10" max="10" width="11.00390625" style="0" customWidth="1"/>
    <col min="12" max="13" width="5.57421875" style="0" customWidth="1"/>
    <col min="14" max="14" width="9.57421875" style="0" customWidth="1"/>
  </cols>
  <sheetData>
    <row r="1" spans="1:5" ht="17.25" customHeight="1">
      <c r="A1" s="13" t="s">
        <v>15</v>
      </c>
      <c r="B1" s="13"/>
      <c r="C1" s="11" t="s">
        <v>32</v>
      </c>
      <c r="D1" t="s">
        <v>16</v>
      </c>
      <c r="E1" s="11" t="s">
        <v>23</v>
      </c>
    </row>
    <row r="2" spans="1:7" ht="17.25" customHeight="1">
      <c r="A2" s="13" t="s">
        <v>17</v>
      </c>
      <c r="B2" s="13"/>
      <c r="C2" s="35">
        <v>0.85</v>
      </c>
      <c r="D2" t="s">
        <v>20</v>
      </c>
      <c r="E2" s="10">
        <v>28</v>
      </c>
      <c r="G2" s="35"/>
    </row>
    <row r="3" spans="1:7" ht="17.25" customHeight="1">
      <c r="A3" s="13" t="s">
        <v>18</v>
      </c>
      <c r="B3" s="13"/>
      <c r="C3" s="35">
        <v>0.075</v>
      </c>
      <c r="D3" t="s">
        <v>21</v>
      </c>
      <c r="E3" s="10">
        <v>28</v>
      </c>
      <c r="G3" s="95"/>
    </row>
    <row r="4" spans="1:7" ht="17.25" customHeight="1">
      <c r="A4" s="13" t="s">
        <v>19</v>
      </c>
      <c r="B4" s="13"/>
      <c r="C4" s="35">
        <v>240000</v>
      </c>
      <c r="D4" t="s">
        <v>22</v>
      </c>
      <c r="E4" s="10">
        <v>210</v>
      </c>
      <c r="G4" s="35"/>
    </row>
    <row r="5" spans="1:3" ht="17.25" customHeight="1">
      <c r="A5" s="100" t="s">
        <v>149</v>
      </c>
      <c r="B5" s="100"/>
      <c r="C5">
        <v>0.85</v>
      </c>
    </row>
    <row r="6" spans="4:5" ht="17.25" customHeight="1">
      <c r="D6" t="s">
        <v>31</v>
      </c>
      <c r="E6" s="10">
        <v>3.5</v>
      </c>
    </row>
    <row r="7" spans="1:2" s="70" customFormat="1" ht="17.25" customHeight="1">
      <c r="A7" s="127" t="s">
        <v>148</v>
      </c>
      <c r="B7" s="52"/>
    </row>
    <row r="8" spans="1:8" s="70" customFormat="1" ht="33">
      <c r="A8" s="94" t="s">
        <v>147</v>
      </c>
      <c r="B8" s="94" t="s">
        <v>41</v>
      </c>
      <c r="C8" s="94" t="s">
        <v>143</v>
      </c>
      <c r="D8" s="94" t="s">
        <v>144</v>
      </c>
      <c r="E8" s="94" t="s">
        <v>145</v>
      </c>
      <c r="F8" s="95" t="s">
        <v>29</v>
      </c>
      <c r="G8" s="95" t="s">
        <v>79</v>
      </c>
      <c r="H8" s="96" t="s">
        <v>163</v>
      </c>
    </row>
    <row r="9" spans="1:8" s="70" customFormat="1" ht="17.25" customHeight="1">
      <c r="A9" s="300" t="s">
        <v>98</v>
      </c>
      <c r="B9" s="119" t="s">
        <v>202</v>
      </c>
      <c r="C9" s="118">
        <f>2.262*2</f>
        <v>4.524</v>
      </c>
      <c r="D9" s="97">
        <v>25</v>
      </c>
      <c r="E9" s="97">
        <v>35</v>
      </c>
      <c r="F9" s="98">
        <f>(C9*$E$2)/($C$5*D9*$C$2*(E9-$E$6))</f>
        <v>0.22263437139561706</v>
      </c>
      <c r="G9" s="98">
        <f>F9*(1-0.5*F9)</f>
        <v>0.19785133973225627</v>
      </c>
      <c r="H9" s="120">
        <f>G9*$C$5*$C$2*D9*(E9-$E$6)*(E9-$E$6)</f>
        <v>3545.9937277785466</v>
      </c>
    </row>
    <row r="10" spans="1:8" s="70" customFormat="1" ht="17.25" customHeight="1">
      <c r="A10" s="302"/>
      <c r="B10" s="17" t="s">
        <v>166</v>
      </c>
      <c r="C10" s="118">
        <v>6.063</v>
      </c>
      <c r="D10" s="97">
        <v>25</v>
      </c>
      <c r="E10" s="97">
        <v>35</v>
      </c>
      <c r="F10" s="98">
        <f aca="true" t="shared" si="0" ref="F10:F22">(C10*$E$2)/($C$5*D10*$C$2*(E10-$E$6))</f>
        <v>0.2983713956170703</v>
      </c>
      <c r="G10" s="98">
        <f aca="true" t="shared" si="1" ref="G10:G22">F10*(1-0.5*F10)</f>
        <v>0.2538586507558312</v>
      </c>
      <c r="H10" s="120">
        <f aca="true" t="shared" si="2" ref="H10:H22">G10*$C$5*$C$2*D10*(E10-$E$6)*(E10-$E$6)</f>
        <v>4549.785634712803</v>
      </c>
    </row>
    <row r="11" spans="1:8" s="70" customFormat="1" ht="17.25" customHeight="1">
      <c r="A11" s="121" t="s">
        <v>102</v>
      </c>
      <c r="B11" s="17" t="s">
        <v>205</v>
      </c>
      <c r="C11" s="122">
        <v>7.603</v>
      </c>
      <c r="D11" s="97">
        <v>25</v>
      </c>
      <c r="E11" s="97">
        <v>35</v>
      </c>
      <c r="F11" s="98">
        <f t="shared" si="0"/>
        <v>0.374157631680123</v>
      </c>
      <c r="G11" s="98">
        <f t="shared" si="1"/>
        <v>0.30416066500788375</v>
      </c>
      <c r="H11" s="120">
        <f t="shared" si="2"/>
        <v>5451.324271114187</v>
      </c>
    </row>
    <row r="12" spans="1:8" s="70" customFormat="1" ht="17.25" customHeight="1">
      <c r="A12" s="300" t="s">
        <v>125</v>
      </c>
      <c r="B12" s="17" t="s">
        <v>206</v>
      </c>
      <c r="C12" s="68">
        <v>6.786</v>
      </c>
      <c r="D12" s="97">
        <v>25</v>
      </c>
      <c r="E12" s="97">
        <v>35</v>
      </c>
      <c r="F12" s="98">
        <f t="shared" si="0"/>
        <v>0.33395155709342556</v>
      </c>
      <c r="G12" s="98">
        <f t="shared" si="1"/>
        <v>0.2781897358508638</v>
      </c>
      <c r="H12" s="120">
        <f t="shared" si="2"/>
        <v>4985.859887501729</v>
      </c>
    </row>
    <row r="13" spans="1:8" s="70" customFormat="1" ht="17.25" customHeight="1">
      <c r="A13" s="302"/>
      <c r="B13" s="17" t="s">
        <v>207</v>
      </c>
      <c r="C13" s="68">
        <v>5.655</v>
      </c>
      <c r="D13" s="97">
        <v>25</v>
      </c>
      <c r="E13" s="97">
        <v>35</v>
      </c>
      <c r="F13" s="98">
        <f t="shared" si="0"/>
        <v>0.2782929642445213</v>
      </c>
      <c r="G13" s="98">
        <f t="shared" si="1"/>
        <v>0.2395694772705201</v>
      </c>
      <c r="H13" s="120">
        <f t="shared" si="2"/>
        <v>4293.687699653979</v>
      </c>
    </row>
    <row r="14" spans="1:8" s="70" customFormat="1" ht="17.25" customHeight="1">
      <c r="A14" s="300" t="s">
        <v>126</v>
      </c>
      <c r="B14" s="17" t="s">
        <v>206</v>
      </c>
      <c r="C14" s="68">
        <v>6.789</v>
      </c>
      <c r="D14" s="97">
        <v>25</v>
      </c>
      <c r="E14" s="97">
        <v>35</v>
      </c>
      <c r="F14" s="98">
        <f t="shared" si="0"/>
        <v>0.33409919261822374</v>
      </c>
      <c r="G14" s="98">
        <f t="shared" si="1"/>
        <v>0.27828805736414924</v>
      </c>
      <c r="H14" s="120">
        <f t="shared" si="2"/>
        <v>4987.622056359862</v>
      </c>
    </row>
    <row r="15" spans="1:8" s="70" customFormat="1" ht="17.25" customHeight="1">
      <c r="A15" s="302"/>
      <c r="B15" s="17" t="s">
        <v>207</v>
      </c>
      <c r="C15" s="68">
        <v>5.655</v>
      </c>
      <c r="D15" s="97">
        <v>25</v>
      </c>
      <c r="E15" s="97">
        <v>35</v>
      </c>
      <c r="F15" s="98">
        <f t="shared" si="0"/>
        <v>0.2782929642445213</v>
      </c>
      <c r="G15" s="98">
        <f t="shared" si="1"/>
        <v>0.2395694772705201</v>
      </c>
      <c r="H15" s="120">
        <f t="shared" si="2"/>
        <v>4293.687699653979</v>
      </c>
    </row>
    <row r="16" spans="1:8" s="70" customFormat="1" ht="17.25" customHeight="1">
      <c r="A16" s="121" t="s">
        <v>103</v>
      </c>
      <c r="B16" s="17" t="s">
        <v>165</v>
      </c>
      <c r="C16" s="68">
        <v>8.734</v>
      </c>
      <c r="D16" s="97">
        <v>25</v>
      </c>
      <c r="E16" s="97">
        <v>35</v>
      </c>
      <c r="F16" s="98">
        <f t="shared" si="0"/>
        <v>0.4298162245290273</v>
      </c>
      <c r="G16" s="98">
        <f t="shared" si="1"/>
        <v>0.33744523109483365</v>
      </c>
      <c r="H16" s="120">
        <f t="shared" si="2"/>
        <v>6047.867426878892</v>
      </c>
    </row>
    <row r="17" spans="1:8" s="70" customFormat="1" ht="17.25" customHeight="1">
      <c r="A17" s="300" t="s">
        <v>104</v>
      </c>
      <c r="B17" s="17" t="s">
        <v>208</v>
      </c>
      <c r="C17" s="68">
        <v>9.865</v>
      </c>
      <c r="D17" s="97">
        <v>25</v>
      </c>
      <c r="E17" s="97">
        <v>35</v>
      </c>
      <c r="F17" s="98">
        <f t="shared" si="0"/>
        <v>0.48547481737793163</v>
      </c>
      <c r="G17" s="98">
        <f t="shared" si="1"/>
        <v>0.36763191822386365</v>
      </c>
      <c r="H17" s="120">
        <f t="shared" si="2"/>
        <v>6588.888798615917</v>
      </c>
    </row>
    <row r="18" spans="1:8" s="70" customFormat="1" ht="17.25" customHeight="1">
      <c r="A18" s="302"/>
      <c r="B18" s="18" t="s">
        <v>199</v>
      </c>
      <c r="C18" s="68">
        <v>7.603</v>
      </c>
      <c r="D18" s="97">
        <v>25</v>
      </c>
      <c r="E18" s="97">
        <v>35</v>
      </c>
      <c r="F18" s="98">
        <f t="shared" si="0"/>
        <v>0.374157631680123</v>
      </c>
      <c r="G18" s="98">
        <f t="shared" si="1"/>
        <v>0.30416066500788375</v>
      </c>
      <c r="H18" s="120">
        <f t="shared" si="2"/>
        <v>5451.324271114187</v>
      </c>
    </row>
    <row r="19" spans="1:8" s="70" customFormat="1" ht="17.25" customHeight="1">
      <c r="A19" s="121" t="s">
        <v>105</v>
      </c>
      <c r="B19" s="17" t="s">
        <v>165</v>
      </c>
      <c r="C19" s="68">
        <v>8.734</v>
      </c>
      <c r="D19" s="97">
        <v>25</v>
      </c>
      <c r="E19" s="97">
        <v>35</v>
      </c>
      <c r="F19" s="98">
        <f t="shared" si="0"/>
        <v>0.4298162245290273</v>
      </c>
      <c r="G19" s="98">
        <f t="shared" si="1"/>
        <v>0.33744523109483365</v>
      </c>
      <c r="H19" s="120">
        <f t="shared" si="2"/>
        <v>6047.867426878892</v>
      </c>
    </row>
    <row r="20" spans="1:8" s="70" customFormat="1" ht="17.25" customHeight="1">
      <c r="A20" s="121" t="s">
        <v>106</v>
      </c>
      <c r="B20" s="17" t="s">
        <v>207</v>
      </c>
      <c r="C20" s="68">
        <v>5.655</v>
      </c>
      <c r="D20" s="97">
        <v>25</v>
      </c>
      <c r="E20" s="97">
        <v>35</v>
      </c>
      <c r="F20" s="98">
        <f t="shared" si="0"/>
        <v>0.2782929642445213</v>
      </c>
      <c r="G20" s="98">
        <f t="shared" si="1"/>
        <v>0.2395694772705201</v>
      </c>
      <c r="H20" s="120">
        <f t="shared" si="2"/>
        <v>4293.687699653979</v>
      </c>
    </row>
    <row r="21" spans="1:8" s="70" customFormat="1" ht="17.25" customHeight="1">
      <c r="A21" s="300" t="s">
        <v>132</v>
      </c>
      <c r="B21" s="17" t="s">
        <v>205</v>
      </c>
      <c r="C21" s="68">
        <v>7.603</v>
      </c>
      <c r="D21" s="97">
        <v>25</v>
      </c>
      <c r="E21" s="97">
        <v>35</v>
      </c>
      <c r="F21" s="98">
        <f t="shared" si="0"/>
        <v>0.374157631680123</v>
      </c>
      <c r="G21" s="98">
        <f t="shared" si="1"/>
        <v>0.30416066500788375</v>
      </c>
      <c r="H21" s="120">
        <f t="shared" si="2"/>
        <v>5451.324271114187</v>
      </c>
    </row>
    <row r="22" spans="1:8" s="70" customFormat="1" ht="17.25" thickBot="1">
      <c r="A22" s="301"/>
      <c r="B22" s="164" t="s">
        <v>166</v>
      </c>
      <c r="C22" s="165">
        <v>6.063</v>
      </c>
      <c r="D22" s="166">
        <v>25</v>
      </c>
      <c r="E22" s="166">
        <v>35</v>
      </c>
      <c r="F22" s="167">
        <f t="shared" si="0"/>
        <v>0.2983713956170703</v>
      </c>
      <c r="G22" s="167">
        <f t="shared" si="1"/>
        <v>0.2538586507558312</v>
      </c>
      <c r="H22" s="168">
        <f t="shared" si="2"/>
        <v>4549.785634712803</v>
      </c>
    </row>
    <row r="23" spans="1:8" s="70" customFormat="1" ht="17.25" customHeight="1">
      <c r="A23" s="160" t="s">
        <v>156</v>
      </c>
      <c r="B23" s="161"/>
      <c r="C23" s="162"/>
      <c r="D23" s="161"/>
      <c r="E23" s="161"/>
      <c r="F23" s="158"/>
      <c r="G23" s="158"/>
      <c r="H23" s="163"/>
    </row>
    <row r="24" spans="1:8" s="70" customFormat="1" ht="33">
      <c r="A24" s="94" t="s">
        <v>147</v>
      </c>
      <c r="B24" s="94" t="s">
        <v>41</v>
      </c>
      <c r="C24" s="94" t="s">
        <v>143</v>
      </c>
      <c r="D24" s="94" t="s">
        <v>144</v>
      </c>
      <c r="E24" s="94" t="s">
        <v>145</v>
      </c>
      <c r="F24" s="95" t="s">
        <v>29</v>
      </c>
      <c r="G24" s="95" t="s">
        <v>79</v>
      </c>
      <c r="H24" s="96" t="s">
        <v>146</v>
      </c>
    </row>
    <row r="25" spans="1:8" s="70" customFormat="1" ht="17.25" customHeight="1">
      <c r="A25" s="304" t="s">
        <v>98</v>
      </c>
      <c r="B25" s="119" t="s">
        <v>164</v>
      </c>
      <c r="C25" s="118">
        <f>2.262*2</f>
        <v>4.524</v>
      </c>
      <c r="D25" s="17">
        <v>25</v>
      </c>
      <c r="E25" s="17">
        <v>35</v>
      </c>
      <c r="F25" s="98">
        <f>(C25*$E$2)/($C$5*D25*$C$2*(E25-$E$6))</f>
        <v>0.22263437139561706</v>
      </c>
      <c r="G25" s="98">
        <f aca="true" t="shared" si="3" ref="G25:G55">F25*(1-0.5*F25)</f>
        <v>0.19785133973225627</v>
      </c>
      <c r="H25" s="120">
        <f aca="true" t="shared" si="4" ref="H25:H55">G25*$C$5*$C$2*D25*(E25-$E$6)*(E25-$E$6)</f>
        <v>3545.9937277785466</v>
      </c>
    </row>
    <row r="26" spans="1:8" s="70" customFormat="1" ht="17.25" customHeight="1">
      <c r="A26" s="304"/>
      <c r="B26" s="93" t="s">
        <v>200</v>
      </c>
      <c r="C26" s="118">
        <v>6.063</v>
      </c>
      <c r="D26" s="17">
        <v>25</v>
      </c>
      <c r="E26" s="17">
        <v>35</v>
      </c>
      <c r="F26" s="98">
        <f aca="true" t="shared" si="5" ref="F26:F40">(C26*$E$2)/($C$5*D26*$C$2*(E26-$E$6))</f>
        <v>0.2983713956170703</v>
      </c>
      <c r="G26" s="98">
        <f t="shared" si="3"/>
        <v>0.2538586507558312</v>
      </c>
      <c r="H26" s="120">
        <f t="shared" si="4"/>
        <v>4549.785634712803</v>
      </c>
    </row>
    <row r="27" spans="1:9" ht="17.25" customHeight="1">
      <c r="A27" s="121" t="s">
        <v>102</v>
      </c>
      <c r="B27" s="93" t="s">
        <v>199</v>
      </c>
      <c r="C27" s="159">
        <v>7.603</v>
      </c>
      <c r="D27" s="17">
        <v>25</v>
      </c>
      <c r="E27" s="17">
        <v>35</v>
      </c>
      <c r="F27" s="98">
        <f t="shared" si="5"/>
        <v>0.374157631680123</v>
      </c>
      <c r="G27" s="98">
        <f t="shared" si="3"/>
        <v>0.30416066500788375</v>
      </c>
      <c r="H27" s="120">
        <f t="shared" si="4"/>
        <v>5451.324271114187</v>
      </c>
      <c r="I27" s="99"/>
    </row>
    <row r="28" spans="1:9" ht="17.25" customHeight="1">
      <c r="A28" s="303" t="s">
        <v>125</v>
      </c>
      <c r="B28" s="93" t="s">
        <v>204</v>
      </c>
      <c r="C28" s="68">
        <v>6.786</v>
      </c>
      <c r="D28" s="17">
        <v>25</v>
      </c>
      <c r="E28" s="17">
        <v>35</v>
      </c>
      <c r="F28" s="98">
        <f t="shared" si="5"/>
        <v>0.33395155709342556</v>
      </c>
      <c r="G28" s="98">
        <f t="shared" si="3"/>
        <v>0.2781897358508638</v>
      </c>
      <c r="H28" s="120">
        <f t="shared" si="4"/>
        <v>4985.859887501729</v>
      </c>
      <c r="I28" s="99"/>
    </row>
    <row r="29" spans="1:9" ht="17.25" customHeight="1">
      <c r="A29" s="303"/>
      <c r="B29" s="93" t="s">
        <v>170</v>
      </c>
      <c r="C29" s="68">
        <v>5.655</v>
      </c>
      <c r="D29" s="17">
        <v>25</v>
      </c>
      <c r="E29" s="17">
        <v>35</v>
      </c>
      <c r="F29" s="98">
        <f t="shared" si="5"/>
        <v>0.2782929642445213</v>
      </c>
      <c r="G29" s="98">
        <f t="shared" si="3"/>
        <v>0.2395694772705201</v>
      </c>
      <c r="H29" s="120">
        <f t="shared" si="4"/>
        <v>4293.687699653979</v>
      </c>
      <c r="I29" s="99"/>
    </row>
    <row r="30" spans="1:9" ht="17.25" customHeight="1">
      <c r="A30" s="303" t="s">
        <v>126</v>
      </c>
      <c r="B30" s="93" t="s">
        <v>169</v>
      </c>
      <c r="C30" s="122">
        <v>7.194</v>
      </c>
      <c r="D30" s="17">
        <v>25</v>
      </c>
      <c r="E30" s="17">
        <v>35</v>
      </c>
      <c r="F30" s="98">
        <f t="shared" si="5"/>
        <v>0.3540299884659746</v>
      </c>
      <c r="G30" s="98">
        <f t="shared" si="3"/>
        <v>0.2913613720993656</v>
      </c>
      <c r="H30" s="120">
        <f t="shared" si="4"/>
        <v>5221.928743972319</v>
      </c>
      <c r="I30" s="99"/>
    </row>
    <row r="31" spans="1:9" ht="17.25" customHeight="1">
      <c r="A31" s="303"/>
      <c r="B31" s="93" t="s">
        <v>170</v>
      </c>
      <c r="C31" s="159">
        <v>5.655</v>
      </c>
      <c r="D31" s="17">
        <v>25</v>
      </c>
      <c r="E31" s="17">
        <v>35</v>
      </c>
      <c r="F31" s="98">
        <f t="shared" si="5"/>
        <v>0.2782929642445213</v>
      </c>
      <c r="G31" s="98">
        <f t="shared" si="3"/>
        <v>0.2395694772705201</v>
      </c>
      <c r="H31" s="120">
        <f t="shared" si="4"/>
        <v>4293.687699653979</v>
      </c>
      <c r="I31" s="99"/>
    </row>
    <row r="32" spans="1:9" ht="17.25" customHeight="1">
      <c r="A32" s="303" t="s">
        <v>103</v>
      </c>
      <c r="B32" s="93" t="s">
        <v>168</v>
      </c>
      <c r="C32" s="156">
        <v>7.603</v>
      </c>
      <c r="D32" s="17">
        <v>25</v>
      </c>
      <c r="E32" s="17">
        <v>35</v>
      </c>
      <c r="F32" s="98">
        <f t="shared" si="5"/>
        <v>0.374157631680123</v>
      </c>
      <c r="G32" s="98">
        <f t="shared" si="3"/>
        <v>0.30416066500788375</v>
      </c>
      <c r="H32" s="120">
        <f t="shared" si="4"/>
        <v>5451.324271114187</v>
      </c>
      <c r="I32" s="99"/>
    </row>
    <row r="33" spans="1:9" ht="17.25" customHeight="1">
      <c r="A33" s="303"/>
      <c r="B33" s="93" t="s">
        <v>170</v>
      </c>
      <c r="C33" s="156">
        <v>5.655</v>
      </c>
      <c r="D33" s="17">
        <v>25</v>
      </c>
      <c r="E33" s="17">
        <v>35</v>
      </c>
      <c r="F33" s="98">
        <f t="shared" si="5"/>
        <v>0.2782929642445213</v>
      </c>
      <c r="G33" s="98">
        <f t="shared" si="3"/>
        <v>0.2395694772705201</v>
      </c>
      <c r="H33" s="120">
        <f t="shared" si="4"/>
        <v>4293.687699653979</v>
      </c>
      <c r="I33" s="99"/>
    </row>
    <row r="34" spans="1:9" ht="17.25" customHeight="1">
      <c r="A34" s="121" t="s">
        <v>104</v>
      </c>
      <c r="B34" s="93" t="s">
        <v>169</v>
      </c>
      <c r="C34" s="156">
        <v>7.194</v>
      </c>
      <c r="D34" s="17">
        <v>25</v>
      </c>
      <c r="E34" s="17">
        <v>35</v>
      </c>
      <c r="F34" s="98">
        <f t="shared" si="5"/>
        <v>0.3540299884659746</v>
      </c>
      <c r="G34" s="98">
        <f t="shared" si="3"/>
        <v>0.2913613720993656</v>
      </c>
      <c r="H34" s="120">
        <f t="shared" si="4"/>
        <v>5221.928743972319</v>
      </c>
      <c r="I34" s="99"/>
    </row>
    <row r="35" spans="1:9" ht="17.25" customHeight="1">
      <c r="A35" s="303" t="s">
        <v>105</v>
      </c>
      <c r="B35" s="93" t="s">
        <v>169</v>
      </c>
      <c r="C35" s="156">
        <v>7.194</v>
      </c>
      <c r="D35" s="17">
        <v>25</v>
      </c>
      <c r="E35" s="17">
        <v>35</v>
      </c>
      <c r="F35" s="98">
        <f t="shared" si="5"/>
        <v>0.3540299884659746</v>
      </c>
      <c r="G35" s="98">
        <f t="shared" si="3"/>
        <v>0.2913613720993656</v>
      </c>
      <c r="H35" s="120">
        <f t="shared" si="4"/>
        <v>5221.928743972319</v>
      </c>
      <c r="I35" s="99"/>
    </row>
    <row r="36" spans="1:9" ht="17.25" customHeight="1">
      <c r="A36" s="303"/>
      <c r="B36" s="93" t="s">
        <v>200</v>
      </c>
      <c r="C36" s="156">
        <v>6.063</v>
      </c>
      <c r="D36" s="17">
        <v>25</v>
      </c>
      <c r="E36" s="17">
        <v>35</v>
      </c>
      <c r="F36" s="98">
        <f t="shared" si="5"/>
        <v>0.2983713956170703</v>
      </c>
      <c r="G36" s="98">
        <f t="shared" si="3"/>
        <v>0.2538586507558312</v>
      </c>
      <c r="H36" s="120">
        <f t="shared" si="4"/>
        <v>4549.785634712803</v>
      </c>
      <c r="I36" s="99"/>
    </row>
    <row r="37" spans="1:9" ht="17.25" customHeight="1">
      <c r="A37" s="303" t="s">
        <v>106</v>
      </c>
      <c r="B37" s="93" t="s">
        <v>168</v>
      </c>
      <c r="C37" s="156">
        <v>7.603</v>
      </c>
      <c r="D37" s="17">
        <v>25</v>
      </c>
      <c r="E37" s="17">
        <v>35</v>
      </c>
      <c r="F37" s="98">
        <f t="shared" si="5"/>
        <v>0.374157631680123</v>
      </c>
      <c r="G37" s="98">
        <f t="shared" si="3"/>
        <v>0.30416066500788375</v>
      </c>
      <c r="H37" s="120">
        <f t="shared" si="4"/>
        <v>5451.324271114187</v>
      </c>
      <c r="I37" s="99"/>
    </row>
    <row r="38" spans="1:9" ht="17.25" customHeight="1">
      <c r="A38" s="303"/>
      <c r="B38" s="93" t="s">
        <v>170</v>
      </c>
      <c r="C38" s="156">
        <v>5.655</v>
      </c>
      <c r="D38" s="17">
        <v>25</v>
      </c>
      <c r="E38" s="17">
        <v>35</v>
      </c>
      <c r="F38" s="98">
        <f t="shared" si="5"/>
        <v>0.2782929642445213</v>
      </c>
      <c r="G38" s="98">
        <f t="shared" si="3"/>
        <v>0.2395694772705201</v>
      </c>
      <c r="H38" s="120">
        <f t="shared" si="4"/>
        <v>4293.687699653979</v>
      </c>
      <c r="I38" s="99"/>
    </row>
    <row r="39" spans="1:9" ht="17.25" customHeight="1">
      <c r="A39" s="303" t="s">
        <v>132</v>
      </c>
      <c r="B39" s="93" t="s">
        <v>204</v>
      </c>
      <c r="C39" s="68">
        <v>6.786</v>
      </c>
      <c r="D39" s="17">
        <v>25</v>
      </c>
      <c r="E39" s="17">
        <v>35</v>
      </c>
      <c r="F39" s="98">
        <f t="shared" si="5"/>
        <v>0.33395155709342556</v>
      </c>
      <c r="G39" s="98">
        <f t="shared" si="3"/>
        <v>0.2781897358508638</v>
      </c>
      <c r="H39" s="120">
        <f t="shared" si="4"/>
        <v>4985.859887501729</v>
      </c>
      <c r="I39" s="99"/>
    </row>
    <row r="40" spans="1:9" ht="17.25" customHeight="1">
      <c r="A40" s="303"/>
      <c r="B40" s="93" t="s">
        <v>170</v>
      </c>
      <c r="C40" s="68">
        <v>5.655</v>
      </c>
      <c r="D40" s="17">
        <v>25</v>
      </c>
      <c r="E40" s="17">
        <v>35</v>
      </c>
      <c r="F40" s="98">
        <f t="shared" si="5"/>
        <v>0.2782929642445213</v>
      </c>
      <c r="G40" s="98">
        <f t="shared" si="3"/>
        <v>0.2395694772705201</v>
      </c>
      <c r="H40" s="120">
        <f t="shared" si="4"/>
        <v>4293.687699653979</v>
      </c>
      <c r="I40" s="99"/>
    </row>
    <row r="41" spans="1:9" ht="17.25" customHeight="1">
      <c r="A41" s="126" t="s">
        <v>171</v>
      </c>
      <c r="B41" s="93"/>
      <c r="C41" s="68"/>
      <c r="D41" s="17"/>
      <c r="E41" s="17"/>
      <c r="F41" s="98"/>
      <c r="G41" s="98"/>
      <c r="H41" s="120"/>
      <c r="I41" s="99"/>
    </row>
    <row r="42" spans="1:16" ht="33">
      <c r="A42" s="94" t="s">
        <v>147</v>
      </c>
      <c r="B42" s="94" t="s">
        <v>41</v>
      </c>
      <c r="C42" s="94" t="s">
        <v>143</v>
      </c>
      <c r="D42" s="94" t="s">
        <v>144</v>
      </c>
      <c r="E42" s="94" t="s">
        <v>145</v>
      </c>
      <c r="F42" s="95" t="s">
        <v>29</v>
      </c>
      <c r="G42" s="95" t="s">
        <v>79</v>
      </c>
      <c r="H42" s="96" t="s">
        <v>146</v>
      </c>
      <c r="I42" s="128"/>
      <c r="J42" s="128"/>
      <c r="K42" s="128"/>
      <c r="L42" s="128"/>
      <c r="M42" s="128"/>
      <c r="N42" s="129"/>
      <c r="O42" s="129"/>
      <c r="P42" s="130"/>
    </row>
    <row r="43" spans="1:16" ht="17.25" customHeight="1" hidden="1">
      <c r="A43" s="125" t="s">
        <v>98</v>
      </c>
      <c r="B43" s="93" t="s">
        <v>167</v>
      </c>
      <c r="C43" s="118">
        <f>2.262*2</f>
        <v>4.524</v>
      </c>
      <c r="D43" s="18">
        <v>20</v>
      </c>
      <c r="E43" s="18">
        <v>30</v>
      </c>
      <c r="F43" s="98">
        <f aca="true" t="shared" si="6" ref="F43:F48">(C43*$E$2)/($C$5*D43*$C$2*(E43-$E$6))</f>
        <v>0.3308010707057518</v>
      </c>
      <c r="G43" s="98">
        <f t="shared" si="3"/>
        <v>0.2760863965157159</v>
      </c>
      <c r="H43" s="120">
        <f t="shared" si="4"/>
        <v>2801.5901597231837</v>
      </c>
      <c r="I43" s="131"/>
      <c r="J43" s="132"/>
      <c r="K43" s="133"/>
      <c r="L43" s="105"/>
      <c r="M43" s="105"/>
      <c r="N43" s="123"/>
      <c r="O43" s="123"/>
      <c r="P43" s="124"/>
    </row>
    <row r="44" spans="1:16" ht="17.25" customHeight="1" hidden="1">
      <c r="A44" s="125" t="s">
        <v>102</v>
      </c>
      <c r="B44" s="93" t="s">
        <v>170</v>
      </c>
      <c r="C44" s="156">
        <f>2.262*3</f>
        <v>6.786</v>
      </c>
      <c r="D44" s="18">
        <v>20</v>
      </c>
      <c r="E44" s="18">
        <v>30</v>
      </c>
      <c r="F44" s="98">
        <f t="shared" si="6"/>
        <v>0.4962016060586277</v>
      </c>
      <c r="G44" s="98">
        <f t="shared" si="3"/>
        <v>0.3730935891310469</v>
      </c>
      <c r="H44" s="120">
        <f t="shared" si="4"/>
        <v>3785.9718593771627</v>
      </c>
      <c r="I44" s="131"/>
      <c r="J44" s="132"/>
      <c r="K44" s="133"/>
      <c r="L44" s="105"/>
      <c r="M44" s="105"/>
      <c r="N44" s="123"/>
      <c r="O44" s="123"/>
      <c r="P44" s="124"/>
    </row>
    <row r="45" spans="1:9" ht="17.25" customHeight="1" hidden="1">
      <c r="A45" s="125" t="s">
        <v>125</v>
      </c>
      <c r="B45" s="93" t="s">
        <v>170</v>
      </c>
      <c r="C45" s="156">
        <f>2.262*3</f>
        <v>6.786</v>
      </c>
      <c r="D45" s="18">
        <v>20</v>
      </c>
      <c r="E45" s="18">
        <v>30</v>
      </c>
      <c r="F45" s="98">
        <f t="shared" si="6"/>
        <v>0.4962016060586277</v>
      </c>
      <c r="G45" s="98">
        <f t="shared" si="3"/>
        <v>0.3730935891310469</v>
      </c>
      <c r="H45" s="120">
        <f t="shared" si="4"/>
        <v>3785.9718593771627</v>
      </c>
      <c r="I45" s="99"/>
    </row>
    <row r="46" spans="1:9" ht="17.25" customHeight="1" hidden="1">
      <c r="A46" s="125" t="s">
        <v>126</v>
      </c>
      <c r="B46" s="93" t="s">
        <v>170</v>
      </c>
      <c r="C46" s="156">
        <f>2.262*3</f>
        <v>6.786</v>
      </c>
      <c r="D46" s="18">
        <v>20</v>
      </c>
      <c r="E46" s="18">
        <v>30</v>
      </c>
      <c r="F46" s="98">
        <f t="shared" si="6"/>
        <v>0.4962016060586277</v>
      </c>
      <c r="G46" s="98">
        <f t="shared" si="3"/>
        <v>0.3730935891310469</v>
      </c>
      <c r="H46" s="120">
        <f t="shared" si="4"/>
        <v>3785.9718593771627</v>
      </c>
      <c r="I46" s="99"/>
    </row>
    <row r="47" spans="1:9" ht="17.25" customHeight="1">
      <c r="A47" s="125" t="s">
        <v>106</v>
      </c>
      <c r="B47" s="93" t="s">
        <v>170</v>
      </c>
      <c r="C47" s="156">
        <f>2.262*3</f>
        <v>6.786</v>
      </c>
      <c r="D47" s="18">
        <v>20</v>
      </c>
      <c r="E47" s="18">
        <v>30</v>
      </c>
      <c r="F47" s="98">
        <f t="shared" si="6"/>
        <v>0.4962016060586277</v>
      </c>
      <c r="G47" s="98">
        <f t="shared" si="3"/>
        <v>0.3730935891310469</v>
      </c>
      <c r="H47" s="120">
        <f t="shared" si="4"/>
        <v>3785.9718593771627</v>
      </c>
      <c r="I47" s="99"/>
    </row>
    <row r="48" spans="1:9" ht="17.25" customHeight="1">
      <c r="A48" s="125" t="s">
        <v>132</v>
      </c>
      <c r="B48" s="93" t="s">
        <v>170</v>
      </c>
      <c r="C48" s="156">
        <f>2.262*3</f>
        <v>6.786</v>
      </c>
      <c r="D48" s="18">
        <v>20</v>
      </c>
      <c r="E48" s="18">
        <v>30</v>
      </c>
      <c r="F48" s="98">
        <f t="shared" si="6"/>
        <v>0.4962016060586277</v>
      </c>
      <c r="G48" s="98">
        <f t="shared" si="3"/>
        <v>0.3730935891310469</v>
      </c>
      <c r="H48" s="120">
        <f t="shared" si="4"/>
        <v>3785.9718593771627</v>
      </c>
      <c r="I48" s="99"/>
    </row>
    <row r="49" spans="1:9" ht="17.25" customHeight="1">
      <c r="A49" s="126" t="s">
        <v>157</v>
      </c>
      <c r="B49" s="93"/>
      <c r="C49" s="157"/>
      <c r="D49" s="99"/>
      <c r="E49" s="99"/>
      <c r="F49" s="158"/>
      <c r="G49" s="98"/>
      <c r="H49" s="120"/>
      <c r="I49" s="99"/>
    </row>
    <row r="50" spans="1:9" ht="33">
      <c r="A50" s="94" t="s">
        <v>147</v>
      </c>
      <c r="B50" s="94" t="s">
        <v>41</v>
      </c>
      <c r="C50" s="94" t="s">
        <v>143</v>
      </c>
      <c r="D50" s="94" t="s">
        <v>144</v>
      </c>
      <c r="E50" s="94" t="s">
        <v>145</v>
      </c>
      <c r="F50" s="95" t="s">
        <v>29</v>
      </c>
      <c r="G50" s="95" t="s">
        <v>79</v>
      </c>
      <c r="H50" s="96" t="s">
        <v>146</v>
      </c>
      <c r="I50" s="99"/>
    </row>
    <row r="51" spans="1:9" ht="17.25" customHeight="1">
      <c r="A51" s="121" t="s">
        <v>103</v>
      </c>
      <c r="B51" s="93" t="s">
        <v>142</v>
      </c>
      <c r="C51" s="118">
        <f>2.262*2</f>
        <v>4.524</v>
      </c>
      <c r="D51" s="18">
        <v>20</v>
      </c>
      <c r="E51" s="18">
        <v>30</v>
      </c>
      <c r="F51" s="98">
        <f>(C51*$E$2)/($C$5*D51*$C$2*(E51-$E$6))</f>
        <v>0.3308010707057518</v>
      </c>
      <c r="G51" s="98">
        <f t="shared" si="3"/>
        <v>0.2760863965157159</v>
      </c>
      <c r="H51" s="120">
        <f t="shared" si="4"/>
        <v>2801.5901597231837</v>
      </c>
      <c r="I51" s="99"/>
    </row>
    <row r="52" spans="1:9" ht="17.25" customHeight="1">
      <c r="A52" s="121"/>
      <c r="B52" s="93" t="s">
        <v>170</v>
      </c>
      <c r="C52" s="118">
        <f>2.262*2</f>
        <v>4.524</v>
      </c>
      <c r="D52" s="18">
        <v>20</v>
      </c>
      <c r="E52" s="18">
        <v>30</v>
      </c>
      <c r="F52" s="98">
        <f>(C52*$E$2)/($C$5*D52*$C$2*(E52-$E$6))</f>
        <v>0.3308010707057518</v>
      </c>
      <c r="G52" s="98">
        <f t="shared" si="3"/>
        <v>0.2760863965157159</v>
      </c>
      <c r="H52" s="120">
        <f t="shared" si="4"/>
        <v>2801.5901597231837</v>
      </c>
      <c r="I52" s="99"/>
    </row>
    <row r="53" spans="1:9" ht="17.25" customHeight="1">
      <c r="A53" s="121" t="s">
        <v>104</v>
      </c>
      <c r="B53" s="114" t="s">
        <v>203</v>
      </c>
      <c r="C53" s="118">
        <f>2.262*2</f>
        <v>4.524</v>
      </c>
      <c r="D53" s="18">
        <v>20</v>
      </c>
      <c r="E53" s="18">
        <v>30</v>
      </c>
      <c r="F53" s="98">
        <f>(C53*$E$2)/($C$5*D53*$C$2*(E53-$E$6))</f>
        <v>0.3308010707057518</v>
      </c>
      <c r="G53" s="98">
        <f t="shared" si="3"/>
        <v>0.2760863965157159</v>
      </c>
      <c r="H53" s="120">
        <f t="shared" si="4"/>
        <v>2801.5901597231837</v>
      </c>
      <c r="I53" s="99"/>
    </row>
    <row r="54" spans="1:9" ht="17.25" customHeight="1">
      <c r="A54" s="121"/>
      <c r="B54" s="93" t="s">
        <v>170</v>
      </c>
      <c r="C54" s="118">
        <f>2.262*2</f>
        <v>4.524</v>
      </c>
      <c r="D54" s="18">
        <v>20</v>
      </c>
      <c r="E54" s="18">
        <v>30</v>
      </c>
      <c r="F54" s="98">
        <f>(C54*$E$2)/($C$5*D54*$C$2*(E54-$E$6))</f>
        <v>0.3308010707057518</v>
      </c>
      <c r="G54" s="98">
        <f t="shared" si="3"/>
        <v>0.2760863965157159</v>
      </c>
      <c r="H54" s="120">
        <f t="shared" si="4"/>
        <v>2801.5901597231837</v>
      </c>
      <c r="I54" s="99"/>
    </row>
    <row r="55" spans="1:9" ht="17.25" customHeight="1">
      <c r="A55" s="121" t="s">
        <v>105</v>
      </c>
      <c r="B55" s="114" t="s">
        <v>203</v>
      </c>
      <c r="C55" s="118">
        <f>2.262*2</f>
        <v>4.524</v>
      </c>
      <c r="D55" s="18">
        <v>20</v>
      </c>
      <c r="E55" s="18">
        <v>30</v>
      </c>
      <c r="F55" s="98">
        <f>(C55*$E$2)/($C$5*D55*$C$2*(E55-$E$6))</f>
        <v>0.3308010707057518</v>
      </c>
      <c r="G55" s="98">
        <f t="shared" si="3"/>
        <v>0.2760863965157159</v>
      </c>
      <c r="H55" s="120">
        <f t="shared" si="4"/>
        <v>2801.5901597231837</v>
      </c>
      <c r="I55" s="99"/>
    </row>
    <row r="56" spans="1:9" ht="17.25" customHeight="1">
      <c r="A56" s="99"/>
      <c r="B56" s="105"/>
      <c r="C56" s="101"/>
      <c r="D56" s="105"/>
      <c r="E56" s="105"/>
      <c r="F56" s="99"/>
      <c r="G56" s="99"/>
      <c r="H56" s="99"/>
      <c r="I56" s="99"/>
    </row>
    <row r="57" spans="1:9" ht="17.25" customHeight="1">
      <c r="A57" s="99"/>
      <c r="B57" s="105"/>
      <c r="C57" s="101"/>
      <c r="D57" s="105"/>
      <c r="E57" s="105"/>
      <c r="F57" s="105"/>
      <c r="G57" s="99"/>
      <c r="H57" s="99"/>
      <c r="I57" s="99"/>
    </row>
    <row r="58" spans="1:9" ht="17.25" customHeight="1">
      <c r="A58" s="99"/>
      <c r="B58" s="105"/>
      <c r="C58" s="101"/>
      <c r="D58" s="105"/>
      <c r="E58" s="105"/>
      <c r="F58" s="105"/>
      <c r="G58" s="99"/>
      <c r="H58" s="99"/>
      <c r="I58" s="99"/>
    </row>
    <row r="59" spans="1:9" ht="17.25" customHeight="1">
      <c r="A59" s="99"/>
      <c r="B59" s="105"/>
      <c r="C59" s="101"/>
      <c r="D59" s="105"/>
      <c r="E59" s="105"/>
      <c r="F59" s="105"/>
      <c r="G59" s="99"/>
      <c r="H59" s="99"/>
      <c r="I59" s="99"/>
    </row>
    <row r="60" spans="1:9" ht="17.25" customHeight="1">
      <c r="A60" s="99"/>
      <c r="B60" s="105"/>
      <c r="C60" s="101"/>
      <c r="D60" s="105"/>
      <c r="E60" s="105"/>
      <c r="F60" s="105"/>
      <c r="G60" s="99"/>
      <c r="H60" s="99"/>
      <c r="I60" s="99"/>
    </row>
    <row r="61" spans="1:9" ht="17.25" customHeight="1">
      <c r="A61" s="99"/>
      <c r="B61" s="105"/>
      <c r="C61" s="101"/>
      <c r="D61" s="105"/>
      <c r="E61" s="105"/>
      <c r="F61" s="105"/>
      <c r="G61" s="99"/>
      <c r="H61" s="99"/>
      <c r="I61" s="99"/>
    </row>
    <row r="62" spans="1:9" ht="17.25" customHeight="1">
      <c r="A62" s="99"/>
      <c r="B62" s="105"/>
      <c r="C62" s="101"/>
      <c r="D62" s="105"/>
      <c r="E62" s="105"/>
      <c r="F62" s="105"/>
      <c r="G62" s="99"/>
      <c r="H62" s="99"/>
      <c r="I62" s="99"/>
    </row>
    <row r="63" spans="1:9" ht="17.25" customHeight="1">
      <c r="A63" s="99"/>
      <c r="B63" s="105"/>
      <c r="C63" s="101"/>
      <c r="D63" s="105"/>
      <c r="E63" s="105"/>
      <c r="F63" s="105"/>
      <c r="G63" s="99"/>
      <c r="H63" s="99"/>
      <c r="I63" s="99"/>
    </row>
    <row r="64" spans="1:9" ht="17.25" customHeight="1">
      <c r="A64" s="99"/>
      <c r="B64" s="105"/>
      <c r="C64" s="101"/>
      <c r="D64" s="105"/>
      <c r="E64" s="105"/>
      <c r="F64" s="105"/>
      <c r="G64" s="99"/>
      <c r="H64" s="99"/>
      <c r="I64" s="99"/>
    </row>
    <row r="65" spans="1:9" ht="17.25" customHeight="1">
      <c r="A65" s="99"/>
      <c r="B65" s="105"/>
      <c r="C65" s="101"/>
      <c r="D65" s="105"/>
      <c r="E65" s="105"/>
      <c r="F65" s="105"/>
      <c r="G65" s="99"/>
      <c r="H65" s="99"/>
      <c r="I65" s="99"/>
    </row>
    <row r="66" spans="1:9" ht="17.25" customHeight="1">
      <c r="A66" s="99"/>
      <c r="B66" s="105"/>
      <c r="C66" s="101"/>
      <c r="D66" s="105"/>
      <c r="E66" s="105"/>
      <c r="F66" s="105"/>
      <c r="G66" s="99"/>
      <c r="H66" s="99"/>
      <c r="I66" s="99"/>
    </row>
    <row r="67" spans="1:9" ht="17.25" customHeight="1">
      <c r="A67" s="99"/>
      <c r="B67" s="105"/>
      <c r="C67" s="105"/>
      <c r="D67" s="105"/>
      <c r="E67" s="105"/>
      <c r="F67" s="105"/>
      <c r="G67" s="99"/>
      <c r="H67" s="99"/>
      <c r="I67" s="99"/>
    </row>
    <row r="68" spans="1:9" ht="17.25" customHeight="1">
      <c r="A68" s="99"/>
      <c r="B68" s="105"/>
      <c r="C68" s="105"/>
      <c r="D68" s="105"/>
      <c r="E68" s="105"/>
      <c r="F68" s="105"/>
      <c r="G68" s="99"/>
      <c r="H68" s="99"/>
      <c r="I68" s="99"/>
    </row>
    <row r="69" spans="1:9" ht="17.25" customHeight="1">
      <c r="A69" s="99"/>
      <c r="B69" s="99"/>
      <c r="C69" s="99"/>
      <c r="D69" s="99"/>
      <c r="E69" s="99"/>
      <c r="F69" s="99"/>
      <c r="G69" s="99"/>
      <c r="H69" s="99"/>
      <c r="I69" s="99"/>
    </row>
    <row r="70" spans="1:9" ht="17.25" customHeight="1">
      <c r="A70" s="99"/>
      <c r="B70" s="99"/>
      <c r="C70" s="99"/>
      <c r="D70" s="99"/>
      <c r="E70" s="99"/>
      <c r="F70" s="99"/>
      <c r="G70" s="99"/>
      <c r="H70" s="99"/>
      <c r="I70" s="99"/>
    </row>
    <row r="71" spans="1:9" ht="17.25" customHeight="1">
      <c r="A71" s="99"/>
      <c r="B71" s="99"/>
      <c r="C71" s="99"/>
      <c r="D71" s="99"/>
      <c r="E71" s="99"/>
      <c r="F71" s="99"/>
      <c r="G71" s="99"/>
      <c r="H71" s="99"/>
      <c r="I71" s="99"/>
    </row>
    <row r="72" spans="1:9" ht="17.25" customHeight="1">
      <c r="A72" s="99"/>
      <c r="B72" s="99"/>
      <c r="C72" s="99"/>
      <c r="D72" s="99"/>
      <c r="E72" s="99"/>
      <c r="F72" s="99"/>
      <c r="G72" s="99"/>
      <c r="H72" s="99"/>
      <c r="I72" s="99"/>
    </row>
    <row r="73" spans="1:9" ht="17.25" customHeight="1">
      <c r="A73" s="99"/>
      <c r="B73" s="99"/>
      <c r="C73" s="99"/>
      <c r="D73" s="99"/>
      <c r="E73" s="99"/>
      <c r="F73" s="99"/>
      <c r="G73" s="99"/>
      <c r="H73" s="99"/>
      <c r="I73" s="99"/>
    </row>
    <row r="74" spans="1:9" ht="17.25" customHeight="1">
      <c r="A74" s="99"/>
      <c r="B74" s="99"/>
      <c r="C74" s="99"/>
      <c r="D74" s="99"/>
      <c r="E74" s="99"/>
      <c r="F74" s="99"/>
      <c r="G74" s="99"/>
      <c r="H74" s="99"/>
      <c r="I74" s="99"/>
    </row>
    <row r="75" spans="1:9" ht="17.25" customHeight="1">
      <c r="A75" s="99"/>
      <c r="B75" s="99"/>
      <c r="C75" s="99"/>
      <c r="D75" s="99"/>
      <c r="E75" s="99"/>
      <c r="F75" s="99"/>
      <c r="G75" s="99"/>
      <c r="H75" s="99"/>
      <c r="I75" s="99"/>
    </row>
    <row r="76" spans="1:9" ht="17.25" customHeight="1">
      <c r="A76" s="99"/>
      <c r="B76" s="99"/>
      <c r="C76" s="99"/>
      <c r="D76" s="99"/>
      <c r="E76" s="99"/>
      <c r="F76" s="99"/>
      <c r="G76" s="99"/>
      <c r="H76" s="99"/>
      <c r="I76" s="99"/>
    </row>
    <row r="77" spans="1:9" ht="17.25" customHeight="1">
      <c r="A77" s="99"/>
      <c r="B77" s="99"/>
      <c r="C77" s="99"/>
      <c r="D77" s="99"/>
      <c r="E77" s="99"/>
      <c r="F77" s="99"/>
      <c r="G77" s="99"/>
      <c r="H77" s="99"/>
      <c r="I77" s="99"/>
    </row>
    <row r="78" spans="1:9" ht="17.25" customHeight="1">
      <c r="A78" s="99"/>
      <c r="B78" s="99"/>
      <c r="C78" s="99"/>
      <c r="D78" s="99"/>
      <c r="E78" s="99"/>
      <c r="F78" s="99"/>
      <c r="G78" s="99"/>
      <c r="H78" s="99"/>
      <c r="I78" s="99"/>
    </row>
    <row r="79" spans="1:9" ht="17.25" customHeight="1">
      <c r="A79" s="99"/>
      <c r="B79" s="99"/>
      <c r="C79" s="99"/>
      <c r="D79" s="99"/>
      <c r="E79" s="99"/>
      <c r="F79" s="99"/>
      <c r="G79" s="99"/>
      <c r="H79" s="99"/>
      <c r="I79" s="99"/>
    </row>
    <row r="80" spans="1:9" ht="17.25" customHeight="1">
      <c r="A80" s="99"/>
      <c r="B80" s="99"/>
      <c r="C80" s="99"/>
      <c r="D80" s="99"/>
      <c r="E80" s="99"/>
      <c r="F80" s="99"/>
      <c r="G80" s="99"/>
      <c r="H80" s="99"/>
      <c r="I80" s="99"/>
    </row>
    <row r="81" spans="1:9" ht="17.25" customHeight="1">
      <c r="A81" s="99"/>
      <c r="B81" s="99"/>
      <c r="C81" s="99"/>
      <c r="D81" s="99"/>
      <c r="E81" s="99"/>
      <c r="F81" s="99"/>
      <c r="G81" s="99"/>
      <c r="H81" s="99"/>
      <c r="I81" s="99"/>
    </row>
    <row r="82" spans="1:9" ht="17.25" customHeight="1">
      <c r="A82" s="99"/>
      <c r="B82" s="99"/>
      <c r="C82" s="99"/>
      <c r="D82" s="99"/>
      <c r="E82" s="99"/>
      <c r="F82" s="99"/>
      <c r="G82" s="99"/>
      <c r="H82" s="99"/>
      <c r="I82" s="99"/>
    </row>
    <row r="83" spans="1:9" ht="17.25" customHeight="1">
      <c r="A83" s="99"/>
      <c r="B83" s="99"/>
      <c r="C83" s="99"/>
      <c r="D83" s="99"/>
      <c r="E83" s="99"/>
      <c r="F83" s="99"/>
      <c r="G83" s="99"/>
      <c r="H83" s="99"/>
      <c r="I83" s="99"/>
    </row>
    <row r="84" spans="1:9" ht="17.25" customHeight="1">
      <c r="A84" s="99"/>
      <c r="B84" s="99"/>
      <c r="C84" s="99"/>
      <c r="D84" s="99"/>
      <c r="E84" s="99"/>
      <c r="F84" s="99"/>
      <c r="G84" s="99"/>
      <c r="H84" s="99"/>
      <c r="I84" s="99"/>
    </row>
    <row r="85" spans="1:9" ht="17.25" customHeight="1">
      <c r="A85" s="99"/>
      <c r="B85" s="99"/>
      <c r="C85" s="99"/>
      <c r="D85" s="99"/>
      <c r="E85" s="99"/>
      <c r="F85" s="99"/>
      <c r="G85" s="99"/>
      <c r="H85" s="99"/>
      <c r="I85" s="99"/>
    </row>
    <row r="86" spans="1:9" ht="17.25" customHeight="1">
      <c r="A86" s="99"/>
      <c r="B86" s="99"/>
      <c r="C86" s="99"/>
      <c r="D86" s="99"/>
      <c r="E86" s="99"/>
      <c r="F86" s="99"/>
      <c r="G86" s="99"/>
      <c r="H86" s="99"/>
      <c r="I86" s="99"/>
    </row>
    <row r="87" spans="1:9" ht="17.25" customHeight="1">
      <c r="A87" s="99"/>
      <c r="B87" s="99"/>
      <c r="C87" s="99"/>
      <c r="D87" s="99"/>
      <c r="E87" s="99"/>
      <c r="F87" s="99"/>
      <c r="G87" s="99"/>
      <c r="H87" s="99"/>
      <c r="I87" s="99"/>
    </row>
    <row r="88" spans="1:9" ht="17.25" customHeight="1">
      <c r="A88" s="99"/>
      <c r="B88" s="99"/>
      <c r="C88" s="99"/>
      <c r="D88" s="99"/>
      <c r="E88" s="99"/>
      <c r="F88" s="99"/>
      <c r="G88" s="99"/>
      <c r="H88" s="99"/>
      <c r="I88" s="99"/>
    </row>
    <row r="89" spans="1:9" ht="17.25" customHeight="1">
      <c r="A89" s="99"/>
      <c r="B89" s="99"/>
      <c r="C89" s="99"/>
      <c r="D89" s="99"/>
      <c r="E89" s="99"/>
      <c r="F89" s="99"/>
      <c r="G89" s="99"/>
      <c r="H89" s="99"/>
      <c r="I89" s="99"/>
    </row>
    <row r="90" spans="1:9" ht="17.25" customHeight="1">
      <c r="A90" s="99"/>
      <c r="B90" s="99"/>
      <c r="C90" s="99"/>
      <c r="D90" s="99"/>
      <c r="E90" s="99"/>
      <c r="F90" s="99"/>
      <c r="G90" s="99"/>
      <c r="H90" s="99"/>
      <c r="I90" s="99"/>
    </row>
    <row r="91" spans="1:9" ht="17.25" customHeight="1">
      <c r="A91" s="99"/>
      <c r="B91" s="99"/>
      <c r="C91" s="99"/>
      <c r="D91" s="99"/>
      <c r="E91" s="99"/>
      <c r="F91" s="99"/>
      <c r="G91" s="99"/>
      <c r="H91" s="99"/>
      <c r="I91" s="99"/>
    </row>
    <row r="92" spans="1:9" ht="17.25" customHeight="1">
      <c r="A92" s="99"/>
      <c r="B92" s="99"/>
      <c r="C92" s="99"/>
      <c r="D92" s="99"/>
      <c r="E92" s="99"/>
      <c r="F92" s="99"/>
      <c r="G92" s="99"/>
      <c r="H92" s="99"/>
      <c r="I92" s="99"/>
    </row>
    <row r="93" spans="1:9" ht="17.25" customHeight="1">
      <c r="A93" s="99"/>
      <c r="B93" s="99"/>
      <c r="C93" s="99"/>
      <c r="D93" s="99"/>
      <c r="E93" s="99"/>
      <c r="F93" s="99"/>
      <c r="G93" s="99"/>
      <c r="H93" s="99"/>
      <c r="I93" s="99"/>
    </row>
  </sheetData>
  <mergeCells count="12">
    <mergeCell ref="A39:A40"/>
    <mergeCell ref="A37:A38"/>
    <mergeCell ref="A35:A36"/>
    <mergeCell ref="A25:A26"/>
    <mergeCell ref="A28:A29"/>
    <mergeCell ref="A30:A31"/>
    <mergeCell ref="A32:A33"/>
    <mergeCell ref="A21:A22"/>
    <mergeCell ref="A9:A10"/>
    <mergeCell ref="A12:A13"/>
    <mergeCell ref="A14:A15"/>
    <mergeCell ref="A17:A18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3">
      <selection activeCell="K34" sqref="K34"/>
    </sheetView>
  </sheetViews>
  <sheetFormatPr defaultColWidth="9.140625" defaultRowHeight="12.75"/>
  <cols>
    <col min="1" max="1" width="7.421875" style="99" customWidth="1"/>
    <col min="2" max="2" width="8.00390625" style="99" customWidth="1"/>
    <col min="3" max="3" width="6.7109375" style="99" customWidth="1"/>
    <col min="4" max="4" width="8.421875" style="99" bestFit="1" customWidth="1"/>
    <col min="5" max="5" width="9.140625" style="99" customWidth="1"/>
    <col min="6" max="6" width="8.8515625" style="99" hidden="1" customWidth="1"/>
    <col min="7" max="7" width="6.8515625" style="99" customWidth="1"/>
    <col min="8" max="8" width="7.140625" style="99" customWidth="1"/>
    <col min="9" max="9" width="5.8515625" style="99" customWidth="1"/>
    <col min="10" max="10" width="5.7109375" style="99" customWidth="1"/>
    <col min="11" max="11" width="7.140625" style="99" customWidth="1"/>
    <col min="12" max="12" width="7.00390625" style="99" customWidth="1"/>
    <col min="13" max="13" width="7.7109375" style="99" customWidth="1"/>
    <col min="14" max="14" width="12.421875" style="99" customWidth="1"/>
    <col min="15" max="15" width="7.7109375" style="99" customWidth="1"/>
    <col min="16" max="16" width="10.28125" style="99" customWidth="1"/>
    <col min="17" max="17" width="9.7109375" style="99" customWidth="1"/>
    <col min="18" max="18" width="12.140625" style="99" customWidth="1"/>
    <col min="19" max="16384" width="9.140625" style="99" customWidth="1"/>
  </cols>
  <sheetData>
    <row r="1" spans="1:17" ht="20.25">
      <c r="A1" s="306" t="s">
        <v>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N1" s="105"/>
      <c r="O1" s="101"/>
      <c r="P1" s="105"/>
      <c r="Q1" s="105"/>
    </row>
    <row r="2" spans="3:17" ht="15.75">
      <c r="C2" s="102"/>
      <c r="F2" s="233"/>
      <c r="G2" s="247"/>
      <c r="H2" s="248"/>
      <c r="I2" s="251" t="s">
        <v>59</v>
      </c>
      <c r="J2" s="248">
        <v>0.85</v>
      </c>
      <c r="K2" s="253" t="s">
        <v>331</v>
      </c>
      <c r="L2" s="254" t="s">
        <v>32</v>
      </c>
      <c r="M2" s="105"/>
      <c r="N2" s="105"/>
      <c r="O2" s="101"/>
      <c r="P2" s="105"/>
      <c r="Q2" s="105"/>
    </row>
    <row r="3" spans="2:17" ht="15.75">
      <c r="B3" s="99" t="s">
        <v>152</v>
      </c>
      <c r="C3" s="103">
        <v>1.2</v>
      </c>
      <c r="D3" s="104"/>
      <c r="F3" s="234"/>
      <c r="G3" s="232"/>
      <c r="H3" s="238"/>
      <c r="I3" s="252" t="s">
        <v>64</v>
      </c>
      <c r="J3" s="238">
        <v>0.25</v>
      </c>
      <c r="K3" s="252" t="s">
        <v>62</v>
      </c>
      <c r="L3" s="238">
        <f>0.85*10^4</f>
        <v>8500</v>
      </c>
      <c r="M3" s="105" t="s">
        <v>154</v>
      </c>
      <c r="N3" s="105">
        <f>0.8*H16</f>
        <v>180000</v>
      </c>
      <c r="O3" s="101"/>
      <c r="P3" s="105"/>
      <c r="Q3" s="105"/>
    </row>
    <row r="4" spans="2:17" ht="15.75">
      <c r="B4" s="99" t="s">
        <v>151</v>
      </c>
      <c r="C4" s="103">
        <v>2</v>
      </c>
      <c r="D4" s="104"/>
      <c r="F4" s="234"/>
      <c r="G4" s="232"/>
      <c r="H4" s="250"/>
      <c r="I4" s="252" t="s">
        <v>69</v>
      </c>
      <c r="J4" s="250">
        <v>0.35</v>
      </c>
      <c r="K4" s="252" t="s">
        <v>67</v>
      </c>
      <c r="L4" s="238">
        <v>750</v>
      </c>
      <c r="M4" s="105"/>
      <c r="N4" s="105"/>
      <c r="O4" s="101"/>
      <c r="P4" s="105"/>
      <c r="Q4" s="105"/>
    </row>
    <row r="5" spans="6:17" ht="15.75">
      <c r="F5" s="234"/>
      <c r="G5" s="232"/>
      <c r="H5" s="238"/>
      <c r="I5" s="252" t="s">
        <v>74</v>
      </c>
      <c r="J5" s="238">
        <v>0.035</v>
      </c>
      <c r="K5" s="252" t="s">
        <v>72</v>
      </c>
      <c r="L5" s="238">
        <v>240000</v>
      </c>
      <c r="M5" s="105"/>
      <c r="N5" s="105"/>
      <c r="O5" s="101"/>
      <c r="P5" s="105"/>
      <c r="Q5" s="105"/>
    </row>
    <row r="6" spans="1:17" ht="15.75">
      <c r="A6" s="99" t="s">
        <v>329</v>
      </c>
      <c r="E6" s="99" t="s">
        <v>153</v>
      </c>
      <c r="J6" s="99">
        <v>0.006</v>
      </c>
      <c r="N6" s="105"/>
      <c r="O6" s="101"/>
      <c r="P6" s="105"/>
      <c r="Q6" s="105"/>
    </row>
    <row r="7" spans="1:17" s="108" customFormat="1" ht="15.75">
      <c r="A7" s="269"/>
      <c r="B7" s="269" t="s">
        <v>44</v>
      </c>
      <c r="C7" s="269" t="s">
        <v>46</v>
      </c>
      <c r="D7" s="80"/>
      <c r="E7" s="269" t="s">
        <v>155</v>
      </c>
      <c r="F7" s="80"/>
      <c r="G7" s="80"/>
      <c r="H7" s="80"/>
      <c r="I7" s="80"/>
      <c r="J7" s="269" t="s">
        <v>47</v>
      </c>
      <c r="K7" s="269"/>
      <c r="L7" s="269" t="s">
        <v>150</v>
      </c>
      <c r="M7" s="269"/>
      <c r="N7" s="107"/>
      <c r="O7" s="107"/>
      <c r="P7" s="107"/>
      <c r="Q7" s="107"/>
    </row>
    <row r="8" spans="1:17" s="108" customFormat="1" ht="15.75">
      <c r="A8" s="269"/>
      <c r="B8" s="269"/>
      <c r="C8" s="269"/>
      <c r="D8" s="80"/>
      <c r="E8" s="269"/>
      <c r="F8" s="80"/>
      <c r="G8" s="80"/>
      <c r="H8" s="80"/>
      <c r="I8" s="80"/>
      <c r="J8" s="80" t="s">
        <v>160</v>
      </c>
      <c r="K8" s="80" t="s">
        <v>161</v>
      </c>
      <c r="L8" s="80" t="s">
        <v>162</v>
      </c>
      <c r="M8" s="80" t="s">
        <v>161</v>
      </c>
      <c r="N8" s="107"/>
      <c r="O8" s="107"/>
      <c r="P8" s="107"/>
      <c r="Q8" s="107"/>
    </row>
    <row r="9" spans="1:17" ht="15.75">
      <c r="A9" s="18" t="s">
        <v>148</v>
      </c>
      <c r="B9" s="18">
        <v>51.69</v>
      </c>
      <c r="C9" s="206">
        <f>$C$3*$J$2*$L$4*$J$3*($J$4-$J$5)*($J$4*$J$5)/B9</f>
        <v>0.014277151044689495</v>
      </c>
      <c r="D9" s="206"/>
      <c r="E9" s="206">
        <f>$N$3*2*3.14*$J$6*$J$6*$C$4*$J$2*$L$4*$J$3*($J$4-$J$5)*($J$4-$J$5)/B9^2</f>
        <v>0.48171801299478656</v>
      </c>
      <c r="F9" s="206"/>
      <c r="G9" s="206"/>
      <c r="H9" s="18"/>
      <c r="I9" s="18"/>
      <c r="J9" s="18">
        <f>MIN($J$4/2,150)</f>
        <v>0.175</v>
      </c>
      <c r="K9" s="18">
        <f>MIN(0.75*$J$4,500)</f>
        <v>0.26249999999999996</v>
      </c>
      <c r="L9" s="18">
        <v>150</v>
      </c>
      <c r="M9" s="18">
        <v>200</v>
      </c>
      <c r="N9" s="105"/>
      <c r="O9" s="105"/>
      <c r="P9" s="105"/>
      <c r="Q9" s="105"/>
    </row>
    <row r="10" spans="1:17" ht="15.75">
      <c r="A10" s="18" t="s">
        <v>156</v>
      </c>
      <c r="B10" s="18">
        <v>57.126</v>
      </c>
      <c r="C10" s="206">
        <f>$C$3*$J$2*$L$4*$J$3*($J$4-$J$5)*($J$4*$J$5)/B10</f>
        <v>0.012918564882890452</v>
      </c>
      <c r="D10" s="206"/>
      <c r="E10" s="206">
        <f>$N$3*2*3.14*$J$6*$J$6*$C$4*$J$2*$L$4*$J$3*($J$4-$J$5)*($J$4-$J$5)/B10^2</f>
        <v>0.3944012834563425</v>
      </c>
      <c r="F10" s="206"/>
      <c r="G10" s="206"/>
      <c r="H10" s="18"/>
      <c r="I10" s="18"/>
      <c r="J10" s="18">
        <f>MIN($J$4/2,150)</f>
        <v>0.175</v>
      </c>
      <c r="K10" s="18">
        <f>MIN(0.75*$J$4,500)</f>
        <v>0.26249999999999996</v>
      </c>
      <c r="L10" s="18">
        <v>150</v>
      </c>
      <c r="M10" s="18">
        <v>200</v>
      </c>
      <c r="N10" s="105"/>
      <c r="O10" s="105"/>
      <c r="P10" s="105"/>
      <c r="Q10" s="105"/>
    </row>
    <row r="11" spans="1:17" ht="15.75">
      <c r="A11" s="18" t="s">
        <v>158</v>
      </c>
      <c r="B11" s="18">
        <v>24.921</v>
      </c>
      <c r="C11" s="206">
        <f>$C$3*$J$2*$L$4*$J$3*($J$4-$J$5)*($J$4*$J$5)/B11</f>
        <v>0.02961301462621885</v>
      </c>
      <c r="D11" s="206"/>
      <c r="E11" s="206">
        <f>$N$3*2*3.14*$J$6*$J$6*$C$4*$J$2*$L$4*$J$3*($J$4-$J$5)*($J$4-$J$5)/B11^2</f>
        <v>2.072406855500869</v>
      </c>
      <c r="F11" s="206"/>
      <c r="G11" s="206"/>
      <c r="H11" s="18"/>
      <c r="I11" s="18"/>
      <c r="J11" s="18">
        <f>MIN($J$4/2,150)</f>
        <v>0.175</v>
      </c>
      <c r="K11" s="18">
        <f>MIN(0.75*$J$4,500)</f>
        <v>0.26249999999999996</v>
      </c>
      <c r="L11" s="18">
        <v>150</v>
      </c>
      <c r="M11" s="18">
        <v>200</v>
      </c>
      <c r="N11" s="105"/>
      <c r="O11" s="105"/>
      <c r="P11" s="105"/>
      <c r="Q11" s="105"/>
    </row>
    <row r="12" spans="1:17" ht="15.75">
      <c r="A12" s="18" t="s">
        <v>159</v>
      </c>
      <c r="B12" s="18">
        <v>25.444</v>
      </c>
      <c r="C12" s="206">
        <f>$C$3*$J$2*$L$4*$J$3*($J$4-$J$5)*($J$4*$J$5)/B12</f>
        <v>0.029004320763244773</v>
      </c>
      <c r="D12" s="206"/>
      <c r="E12" s="206">
        <f>$N$3*2*3.14*$J$6*$J$6*$C$4*$J$2*$L$4*$J$3*($J$4-$J$5)*($J$4-$J$5)/B12^2</f>
        <v>1.988086044761248</v>
      </c>
      <c r="F12" s="206"/>
      <c r="G12" s="206"/>
      <c r="H12" s="18"/>
      <c r="I12" s="18"/>
      <c r="J12" s="18">
        <f>MIN($J$4/2,150)</f>
        <v>0.175</v>
      </c>
      <c r="K12" s="18">
        <f>MIN(0.75*$J$4,500)</f>
        <v>0.26249999999999996</v>
      </c>
      <c r="L12" s="18">
        <v>150</v>
      </c>
      <c r="M12" s="18">
        <v>200</v>
      </c>
      <c r="N12" s="105"/>
      <c r="O12" s="105"/>
      <c r="P12" s="105"/>
      <c r="Q12" s="105"/>
    </row>
    <row r="13" spans="1:17" ht="15.75">
      <c r="A13" s="18" t="s">
        <v>157</v>
      </c>
      <c r="B13" s="18">
        <v>43.431</v>
      </c>
      <c r="C13" s="206">
        <f>$C$3*$J$2*$L$4*$J$3*($J$4-$J$5)*($J$4*$J$5)/B13</f>
        <v>0.016992147026317607</v>
      </c>
      <c r="D13" s="206"/>
      <c r="E13" s="206">
        <f>$N$3*2*3.14*$J$6*$J$6*$C$4*$J$2*$L$4*$J$3*($J$4-$J$5)*($J$4-$J$5)/B13^2</f>
        <v>0.6823485804554803</v>
      </c>
      <c r="F13" s="206"/>
      <c r="G13" s="206"/>
      <c r="H13" s="18"/>
      <c r="I13" s="18"/>
      <c r="J13" s="18">
        <f>MIN($J$4/2,150)</f>
        <v>0.175</v>
      </c>
      <c r="K13" s="18">
        <f>MIN(0.75*$J$4,500)</f>
        <v>0.26249999999999996</v>
      </c>
      <c r="L13" s="18">
        <v>150</v>
      </c>
      <c r="M13" s="18">
        <v>200</v>
      </c>
      <c r="N13" s="105"/>
      <c r="O13" s="105"/>
      <c r="P13" s="105"/>
      <c r="Q13" s="105"/>
    </row>
    <row r="14" spans="1:17" ht="20.25">
      <c r="A14" s="305" t="s">
        <v>330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105"/>
      <c r="N14" s="105"/>
      <c r="O14" s="105"/>
      <c r="P14" s="105"/>
      <c r="Q14" s="105"/>
    </row>
    <row r="15" spans="1:17" ht="15.75">
      <c r="A15" s="105"/>
      <c r="B15" s="105"/>
      <c r="C15" s="236"/>
      <c r="D15" s="236"/>
      <c r="E15" s="237" t="s">
        <v>321</v>
      </c>
      <c r="F15" s="105"/>
      <c r="G15" s="232" t="s">
        <v>67</v>
      </c>
      <c r="H15" s="249">
        <v>750</v>
      </c>
      <c r="I15" s="247" t="s">
        <v>59</v>
      </c>
      <c r="J15" s="248">
        <v>0.85</v>
      </c>
      <c r="K15" s="232" t="s">
        <v>74</v>
      </c>
      <c r="L15" s="238">
        <v>0.035</v>
      </c>
      <c r="M15" s="232" t="s">
        <v>323</v>
      </c>
      <c r="N15" s="238">
        <v>3.14</v>
      </c>
      <c r="O15" s="105"/>
      <c r="P15" s="105"/>
      <c r="Q15" s="105"/>
    </row>
    <row r="16" spans="2:17" ht="20.25">
      <c r="B16" s="180"/>
      <c r="E16" s="255" t="s">
        <v>322</v>
      </c>
      <c r="F16" s="105"/>
      <c r="G16" s="105" t="s">
        <v>320</v>
      </c>
      <c r="H16" s="249">
        <v>225000</v>
      </c>
      <c r="I16" s="105" t="s">
        <v>64</v>
      </c>
      <c r="J16" s="238">
        <v>0.2</v>
      </c>
      <c r="K16" s="232" t="s">
        <v>153</v>
      </c>
      <c r="L16" s="238">
        <v>0.006</v>
      </c>
      <c r="M16" s="256" t="s">
        <v>324</v>
      </c>
      <c r="N16" s="238">
        <v>2</v>
      </c>
      <c r="O16" s="256" t="s">
        <v>325</v>
      </c>
      <c r="P16" s="238">
        <v>1.5</v>
      </c>
      <c r="Q16" s="105"/>
    </row>
    <row r="17" spans="14:17" ht="15.75">
      <c r="N17" s="105"/>
      <c r="O17" s="105"/>
      <c r="P17" s="105"/>
      <c r="Q17" s="105"/>
    </row>
    <row r="18" spans="1:19" s="21" customFormat="1" ht="18.75" customHeight="1">
      <c r="A18" s="307" t="s">
        <v>305</v>
      </c>
      <c r="B18" s="307"/>
      <c r="C18" s="204" t="s">
        <v>8</v>
      </c>
      <c r="D18" s="204" t="s">
        <v>0</v>
      </c>
      <c r="E18" s="204" t="s">
        <v>306</v>
      </c>
      <c r="F18" s="239" t="s">
        <v>45</v>
      </c>
      <c r="G18" s="39" t="s">
        <v>45</v>
      </c>
      <c r="H18" s="204" t="s">
        <v>307</v>
      </c>
      <c r="I18" s="205" t="s">
        <v>308</v>
      </c>
      <c r="J18" s="205" t="s">
        <v>309</v>
      </c>
      <c r="K18" s="205" t="s">
        <v>150</v>
      </c>
      <c r="L18" s="205" t="s">
        <v>328</v>
      </c>
      <c r="M18" s="205" t="s">
        <v>326</v>
      </c>
      <c r="N18" s="240" t="s">
        <v>327</v>
      </c>
      <c r="O18" s="245"/>
      <c r="P18" s="242"/>
      <c r="Q18" s="242"/>
      <c r="R18" s="242"/>
      <c r="S18" s="242"/>
    </row>
    <row r="19" spans="1:19" ht="18.75">
      <c r="A19" s="287" t="s">
        <v>263</v>
      </c>
      <c r="B19" s="208" t="s">
        <v>266</v>
      </c>
      <c r="C19" s="230">
        <v>0.3</v>
      </c>
      <c r="D19" s="259">
        <v>437.923</v>
      </c>
      <c r="E19" s="231">
        <v>21.595</v>
      </c>
      <c r="F19" s="235">
        <f>0.1*(D19/(750*0.2*(C19-0.035)))</f>
        <v>1.1016930817610064</v>
      </c>
      <c r="G19" s="231">
        <f>IF(F19&gt;=0.5,0.5,F19)</f>
        <v>0.5</v>
      </c>
      <c r="H19" s="209">
        <f>($H$16*2*$N$15*$L$16*$L$16*($N$16*(1+G19)*$J$15*$H$15*$J$16*(C19-$L$15)*(C19-$L$15)))/(E19*E19)</f>
        <v>2.929958258283679</v>
      </c>
      <c r="I19" s="209">
        <v>0.15</v>
      </c>
      <c r="J19" s="209">
        <f>($P$16*(1+G19)*$J$15*$H$15*$J$16*(C19-$L$15)*(C19-$L$15))/E19</f>
        <v>0.9328917284093542</v>
      </c>
      <c r="K19" s="209">
        <f aca="true" t="shared" si="0" ref="K19:K33">MIN(H19:J19)</f>
        <v>0.15</v>
      </c>
      <c r="L19" s="209">
        <f>($H$16*0.8*$N$15*$L$16*$L$16)/(4*K19)</f>
        <v>33.912000000000006</v>
      </c>
      <c r="M19" s="209">
        <f>2*SQRT(($N$16*(1+G19))*$J$15*$H$15*$J$16*(C19-$L$15)*(C19-$L$15)*L19)</f>
        <v>60.36264909693743</v>
      </c>
      <c r="N19" s="241" t="str">
        <f>IF(M19&gt;E19,"Không","Tính")</f>
        <v>Không</v>
      </c>
      <c r="O19" s="246"/>
      <c r="P19" s="243"/>
      <c r="Q19" s="242"/>
      <c r="R19" s="105"/>
      <c r="S19" s="105"/>
    </row>
    <row r="20" spans="1:19" ht="18.75">
      <c r="A20" s="287"/>
      <c r="B20" s="208" t="s">
        <v>267</v>
      </c>
      <c r="C20" s="230">
        <v>0.3</v>
      </c>
      <c r="D20" s="259">
        <v>394.634</v>
      </c>
      <c r="E20" s="231">
        <v>14.057</v>
      </c>
      <c r="F20" s="235">
        <f aca="true" t="shared" si="1" ref="F20:F33">0.1*(D20/(750*0.2*(C20-0.035)))</f>
        <v>0.9927899371069183</v>
      </c>
      <c r="G20" s="231">
        <f aca="true" t="shared" si="2" ref="G20:G33">IF(F20&gt;=0.5,0.5,F20)</f>
        <v>0.5</v>
      </c>
      <c r="H20" s="209">
        <f aca="true" t="shared" si="3" ref="H20:H33">($H$16*2*$N$15*$L$16*$L$16*($N$16*(1+G20)*$J$15*$H$15*$J$16*(C20-$L$15)*(C20-$L$15)))/(E20*E20)</f>
        <v>6.914846762651411</v>
      </c>
      <c r="I20" s="209">
        <v>0.15</v>
      </c>
      <c r="J20" s="209">
        <f aca="true" t="shared" si="4" ref="J20:J33">($P$16*(1+G20)*$J$15*$H$15*$J$16*(C20-$L$15)*(C20-$L$15))/E20</f>
        <v>1.433150521092694</v>
      </c>
      <c r="K20" s="209">
        <f t="shared" si="0"/>
        <v>0.15</v>
      </c>
      <c r="L20" s="209">
        <f aca="true" t="shared" si="5" ref="L20:L33">($H$16*0.8*$N$15*$L$16*$L$16)/(4*K20)</f>
        <v>33.912000000000006</v>
      </c>
      <c r="M20" s="209">
        <f aca="true" t="shared" si="6" ref="M20:M33">2*SQRT(($N$16*(1+G20))*$J$15*$H$15*$J$16*(C20-$L$15)*(C20-$L$15)*L20)</f>
        <v>60.36264909693743</v>
      </c>
      <c r="N20" s="241" t="str">
        <f aca="true" t="shared" si="7" ref="N20:N33">IF(M20&gt;E20,"Không","Tính")</f>
        <v>Không</v>
      </c>
      <c r="O20" s="246"/>
      <c r="P20" s="244"/>
      <c r="Q20" s="242"/>
      <c r="R20" s="105"/>
      <c r="S20" s="105"/>
    </row>
    <row r="21" spans="1:19" ht="18.75">
      <c r="A21" s="287"/>
      <c r="B21" s="208" t="s">
        <v>268</v>
      </c>
      <c r="C21" s="230">
        <v>0.3</v>
      </c>
      <c r="D21" s="259">
        <v>351.664</v>
      </c>
      <c r="E21" s="231">
        <v>15.931</v>
      </c>
      <c r="F21" s="235">
        <f t="shared" si="1"/>
        <v>0.8846893081761007</v>
      </c>
      <c r="G21" s="231">
        <f t="shared" si="2"/>
        <v>0.5</v>
      </c>
      <c r="H21" s="209">
        <f t="shared" si="3"/>
        <v>5.3837114463805165</v>
      </c>
      <c r="I21" s="209">
        <v>0.15</v>
      </c>
      <c r="J21" s="209">
        <f t="shared" si="4"/>
        <v>1.264565744460486</v>
      </c>
      <c r="K21" s="209">
        <f t="shared" si="0"/>
        <v>0.15</v>
      </c>
      <c r="L21" s="209">
        <f t="shared" si="5"/>
        <v>33.912000000000006</v>
      </c>
      <c r="M21" s="209">
        <f t="shared" si="6"/>
        <v>60.36264909693743</v>
      </c>
      <c r="N21" s="241" t="str">
        <f t="shared" si="7"/>
        <v>Không</v>
      </c>
      <c r="O21" s="246"/>
      <c r="P21" s="243"/>
      <c r="Q21" s="242"/>
      <c r="R21" s="105"/>
      <c r="S21" s="105"/>
    </row>
    <row r="22" spans="1:19" ht="18.75">
      <c r="A22" s="287"/>
      <c r="B22" s="208" t="s">
        <v>269</v>
      </c>
      <c r="C22" s="230">
        <v>0.3</v>
      </c>
      <c r="D22" s="259">
        <v>96.97</v>
      </c>
      <c r="E22" s="231">
        <v>14.707</v>
      </c>
      <c r="F22" s="235">
        <f t="shared" si="1"/>
        <v>0.2439496855345912</v>
      </c>
      <c r="G22" s="231">
        <f t="shared" si="2"/>
        <v>0.2439496855345912</v>
      </c>
      <c r="H22" s="209">
        <f t="shared" si="3"/>
        <v>5.238792785144942</v>
      </c>
      <c r="I22" s="209">
        <v>0.15</v>
      </c>
      <c r="J22" s="209">
        <f t="shared" si="4"/>
        <v>1.135983213775753</v>
      </c>
      <c r="K22" s="209">
        <f t="shared" si="0"/>
        <v>0.15</v>
      </c>
      <c r="L22" s="209">
        <f t="shared" si="5"/>
        <v>33.912000000000006</v>
      </c>
      <c r="M22" s="209">
        <f t="shared" si="6"/>
        <v>54.96978887105171</v>
      </c>
      <c r="N22" s="241" t="str">
        <f t="shared" si="7"/>
        <v>Không</v>
      </c>
      <c r="O22" s="246"/>
      <c r="P22" s="243"/>
      <c r="Q22" s="242"/>
      <c r="R22" s="105"/>
      <c r="S22" s="105"/>
    </row>
    <row r="23" spans="1:19" ht="18.75">
      <c r="A23" s="287"/>
      <c r="B23" s="208" t="s">
        <v>270</v>
      </c>
      <c r="C23" s="230">
        <v>0.3</v>
      </c>
      <c r="D23" s="259">
        <v>339.26</v>
      </c>
      <c r="E23" s="231">
        <v>13.176</v>
      </c>
      <c r="F23" s="235">
        <f t="shared" si="1"/>
        <v>0.8534842767295597</v>
      </c>
      <c r="G23" s="231">
        <f t="shared" si="2"/>
        <v>0.5</v>
      </c>
      <c r="H23" s="209">
        <f t="shared" si="3"/>
        <v>7.870470177707606</v>
      </c>
      <c r="I23" s="209">
        <v>0.15</v>
      </c>
      <c r="J23" s="209">
        <f t="shared" si="4"/>
        <v>1.5289766905737707</v>
      </c>
      <c r="K23" s="209">
        <f t="shared" si="0"/>
        <v>0.15</v>
      </c>
      <c r="L23" s="209">
        <f t="shared" si="5"/>
        <v>33.912000000000006</v>
      </c>
      <c r="M23" s="209">
        <f t="shared" si="6"/>
        <v>60.36264909693743</v>
      </c>
      <c r="N23" s="241" t="str">
        <f t="shared" si="7"/>
        <v>Không</v>
      </c>
      <c r="O23" s="246"/>
      <c r="P23" s="243"/>
      <c r="Q23" s="242"/>
      <c r="R23" s="105"/>
      <c r="S23" s="105"/>
    </row>
    <row r="24" spans="1:19" ht="18.75">
      <c r="A24" s="287" t="s">
        <v>283</v>
      </c>
      <c r="B24" s="208" t="s">
        <v>271</v>
      </c>
      <c r="C24" s="230">
        <v>0.25</v>
      </c>
      <c r="D24" s="259">
        <v>239.292</v>
      </c>
      <c r="E24" s="231">
        <v>17.98</v>
      </c>
      <c r="F24" s="235">
        <f t="shared" si="1"/>
        <v>0.7419906976744186</v>
      </c>
      <c r="G24" s="231">
        <f t="shared" si="2"/>
        <v>0.5</v>
      </c>
      <c r="H24" s="209">
        <f t="shared" si="3"/>
        <v>2.7821058352130223</v>
      </c>
      <c r="I24" s="209">
        <v>0.15</v>
      </c>
      <c r="J24" s="209">
        <f t="shared" si="4"/>
        <v>0.7375304157397108</v>
      </c>
      <c r="K24" s="209">
        <f t="shared" si="0"/>
        <v>0.15</v>
      </c>
      <c r="L24" s="209">
        <f t="shared" si="5"/>
        <v>33.912000000000006</v>
      </c>
      <c r="M24" s="209">
        <f t="shared" si="6"/>
        <v>48.97347002204357</v>
      </c>
      <c r="N24" s="241" t="str">
        <f t="shared" si="7"/>
        <v>Không</v>
      </c>
      <c r="O24" s="246"/>
      <c r="P24" s="243"/>
      <c r="Q24" s="242"/>
      <c r="R24" s="105"/>
      <c r="S24" s="105"/>
    </row>
    <row r="25" spans="1:19" ht="18.75">
      <c r="A25" s="287"/>
      <c r="B25" s="208" t="s">
        <v>272</v>
      </c>
      <c r="C25" s="230">
        <v>0.25</v>
      </c>
      <c r="D25" s="259">
        <v>219.749</v>
      </c>
      <c r="E25" s="231">
        <v>8.775</v>
      </c>
      <c r="F25" s="235">
        <f t="shared" si="1"/>
        <v>0.6813922480620156</v>
      </c>
      <c r="G25" s="231">
        <f t="shared" si="2"/>
        <v>0.5</v>
      </c>
      <c r="H25" s="209">
        <f t="shared" si="3"/>
        <v>11.680428402366864</v>
      </c>
      <c r="I25" s="209">
        <v>0.15</v>
      </c>
      <c r="J25" s="209">
        <f t="shared" si="4"/>
        <v>1.5112019230769231</v>
      </c>
      <c r="K25" s="209">
        <f t="shared" si="0"/>
        <v>0.15</v>
      </c>
      <c r="L25" s="209">
        <f t="shared" si="5"/>
        <v>33.912000000000006</v>
      </c>
      <c r="M25" s="209">
        <f t="shared" si="6"/>
        <v>48.97347002204357</v>
      </c>
      <c r="N25" s="241" t="str">
        <f t="shared" si="7"/>
        <v>Không</v>
      </c>
      <c r="O25" s="246"/>
      <c r="P25" s="243"/>
      <c r="Q25" s="242"/>
      <c r="R25" s="105"/>
      <c r="S25" s="105"/>
    </row>
    <row r="26" spans="1:19" ht="18.75">
      <c r="A26" s="287"/>
      <c r="B26" s="208" t="s">
        <v>273</v>
      </c>
      <c r="C26" s="230">
        <v>0.25</v>
      </c>
      <c r="D26" s="259">
        <v>177.85</v>
      </c>
      <c r="E26" s="231">
        <v>11.625</v>
      </c>
      <c r="F26" s="235">
        <f t="shared" si="1"/>
        <v>0.5514728682170542</v>
      </c>
      <c r="G26" s="231">
        <f t="shared" si="2"/>
        <v>0.5</v>
      </c>
      <c r="H26" s="209">
        <f t="shared" si="3"/>
        <v>6.655291754422477</v>
      </c>
      <c r="I26" s="209">
        <v>0.15</v>
      </c>
      <c r="J26" s="209">
        <f t="shared" si="4"/>
        <v>1.1407137096774194</v>
      </c>
      <c r="K26" s="209">
        <f t="shared" si="0"/>
        <v>0.15</v>
      </c>
      <c r="L26" s="209">
        <f t="shared" si="5"/>
        <v>33.912000000000006</v>
      </c>
      <c r="M26" s="209">
        <f t="shared" si="6"/>
        <v>48.97347002204357</v>
      </c>
      <c r="N26" s="241" t="str">
        <f t="shared" si="7"/>
        <v>Không</v>
      </c>
      <c r="O26" s="246"/>
      <c r="P26" s="243"/>
      <c r="Q26" s="242"/>
      <c r="R26" s="105"/>
      <c r="S26" s="105"/>
    </row>
    <row r="27" spans="1:19" ht="18.75">
      <c r="A27" s="287"/>
      <c r="B27" s="208" t="s">
        <v>274</v>
      </c>
      <c r="C27" s="230">
        <v>0.25</v>
      </c>
      <c r="D27" s="259">
        <v>29.046</v>
      </c>
      <c r="E27" s="231">
        <v>9.158</v>
      </c>
      <c r="F27" s="235">
        <f t="shared" si="1"/>
        <v>0.09006511627906977</v>
      </c>
      <c r="G27" s="231">
        <f t="shared" si="2"/>
        <v>0.09006511627906977</v>
      </c>
      <c r="H27" s="209">
        <f t="shared" si="3"/>
        <v>7.7931480406554225</v>
      </c>
      <c r="I27" s="209">
        <v>0.15</v>
      </c>
      <c r="J27" s="209">
        <f t="shared" si="4"/>
        <v>1.0522772139113343</v>
      </c>
      <c r="K27" s="209">
        <f t="shared" si="0"/>
        <v>0.15</v>
      </c>
      <c r="L27" s="209">
        <f t="shared" si="5"/>
        <v>33.912000000000006</v>
      </c>
      <c r="M27" s="209">
        <f t="shared" si="6"/>
        <v>41.74855694011951</v>
      </c>
      <c r="N27" s="241" t="str">
        <f t="shared" si="7"/>
        <v>Không</v>
      </c>
      <c r="O27" s="246"/>
      <c r="P27" s="243"/>
      <c r="Q27" s="242"/>
      <c r="R27" s="105"/>
      <c r="S27" s="105"/>
    </row>
    <row r="28" spans="1:19" ht="18.75">
      <c r="A28" s="287"/>
      <c r="B28" s="208" t="s">
        <v>275</v>
      </c>
      <c r="C28" s="230">
        <v>0.25</v>
      </c>
      <c r="D28" s="259">
        <v>222.06</v>
      </c>
      <c r="E28" s="231">
        <v>7.582</v>
      </c>
      <c r="F28" s="235">
        <f t="shared" si="1"/>
        <v>0.6885581395348838</v>
      </c>
      <c r="G28" s="231">
        <f t="shared" si="2"/>
        <v>0.5</v>
      </c>
      <c r="H28" s="209">
        <f t="shared" si="3"/>
        <v>15.645356434817892</v>
      </c>
      <c r="I28" s="209">
        <v>0.15</v>
      </c>
      <c r="J28" s="209">
        <f t="shared" si="4"/>
        <v>1.7489840246636772</v>
      </c>
      <c r="K28" s="209">
        <f t="shared" si="0"/>
        <v>0.15</v>
      </c>
      <c r="L28" s="209">
        <f t="shared" si="5"/>
        <v>33.912000000000006</v>
      </c>
      <c r="M28" s="209">
        <f t="shared" si="6"/>
        <v>48.97347002204357</v>
      </c>
      <c r="N28" s="241" t="str">
        <f t="shared" si="7"/>
        <v>Không</v>
      </c>
      <c r="O28" s="246"/>
      <c r="P28" s="243"/>
      <c r="Q28" s="242"/>
      <c r="R28" s="105"/>
      <c r="S28" s="105"/>
    </row>
    <row r="29" spans="1:19" ht="18.75">
      <c r="A29" s="287" t="s">
        <v>310</v>
      </c>
      <c r="B29" s="208" t="s">
        <v>276</v>
      </c>
      <c r="C29" s="230">
        <v>0.2</v>
      </c>
      <c r="D29" s="259">
        <v>52.853</v>
      </c>
      <c r="E29" s="231">
        <v>15.736</v>
      </c>
      <c r="F29" s="235">
        <f t="shared" si="1"/>
        <v>0.2135474747474748</v>
      </c>
      <c r="G29" s="231">
        <f t="shared" si="2"/>
        <v>0.2135474747474748</v>
      </c>
      <c r="H29" s="209">
        <f t="shared" si="3"/>
        <v>1.7306960741121817</v>
      </c>
      <c r="I29" s="209">
        <v>0.15</v>
      </c>
      <c r="J29" s="209">
        <f t="shared" si="4"/>
        <v>0.4015427197191154</v>
      </c>
      <c r="K29" s="209">
        <f t="shared" si="0"/>
        <v>0.15</v>
      </c>
      <c r="L29" s="209">
        <f t="shared" si="5"/>
        <v>33.912000000000006</v>
      </c>
      <c r="M29" s="209">
        <f t="shared" si="6"/>
        <v>33.80563649776765</v>
      </c>
      <c r="N29" s="241" t="str">
        <f t="shared" si="7"/>
        <v>Không</v>
      </c>
      <c r="O29" s="246"/>
      <c r="P29" s="243"/>
      <c r="Q29" s="242"/>
      <c r="R29" s="105"/>
      <c r="S29" s="105"/>
    </row>
    <row r="30" spans="1:19" ht="18.75">
      <c r="A30" s="287"/>
      <c r="B30" s="208" t="s">
        <v>277</v>
      </c>
      <c r="C30" s="230">
        <v>0.2</v>
      </c>
      <c r="D30" s="259">
        <v>33.334</v>
      </c>
      <c r="E30" s="231">
        <v>4.409</v>
      </c>
      <c r="F30" s="235">
        <f t="shared" si="1"/>
        <v>0.1346828282828283</v>
      </c>
      <c r="G30" s="231">
        <f t="shared" si="2"/>
        <v>0.1346828282828283</v>
      </c>
      <c r="H30" s="209">
        <f t="shared" si="3"/>
        <v>20.613275909309618</v>
      </c>
      <c r="I30" s="209">
        <v>0.15</v>
      </c>
      <c r="J30" s="209">
        <f t="shared" si="4"/>
        <v>1.3399966602404174</v>
      </c>
      <c r="K30" s="209">
        <f t="shared" si="0"/>
        <v>0.15</v>
      </c>
      <c r="L30" s="209">
        <f t="shared" si="5"/>
        <v>33.912000000000006</v>
      </c>
      <c r="M30" s="209">
        <f t="shared" si="6"/>
        <v>32.688724365101805</v>
      </c>
      <c r="N30" s="241" t="str">
        <f t="shared" si="7"/>
        <v>Không</v>
      </c>
      <c r="O30" s="246"/>
      <c r="P30" s="243"/>
      <c r="Q30" s="242"/>
      <c r="R30" s="105"/>
      <c r="S30" s="105"/>
    </row>
    <row r="31" spans="1:19" ht="18.75">
      <c r="A31" s="287"/>
      <c r="B31" s="208" t="s">
        <v>278</v>
      </c>
      <c r="C31" s="230">
        <v>0.2</v>
      </c>
      <c r="D31" s="259">
        <v>23.802</v>
      </c>
      <c r="E31" s="231">
        <v>7.361</v>
      </c>
      <c r="F31" s="235">
        <f t="shared" si="1"/>
        <v>0.09616969696969697</v>
      </c>
      <c r="G31" s="231">
        <f t="shared" si="2"/>
        <v>0.09616969696969697</v>
      </c>
      <c r="H31" s="209">
        <f t="shared" si="3"/>
        <v>7.144254023498792</v>
      </c>
      <c r="I31" s="209">
        <v>0.15</v>
      </c>
      <c r="J31" s="209">
        <f t="shared" si="4"/>
        <v>0.7753723441108546</v>
      </c>
      <c r="K31" s="209">
        <f t="shared" si="0"/>
        <v>0.15</v>
      </c>
      <c r="L31" s="209">
        <f t="shared" si="5"/>
        <v>33.912000000000006</v>
      </c>
      <c r="M31" s="209">
        <f t="shared" si="6"/>
        <v>32.12917898379603</v>
      </c>
      <c r="N31" s="241" t="str">
        <f t="shared" si="7"/>
        <v>Không</v>
      </c>
      <c r="O31" s="246"/>
      <c r="P31" s="243"/>
      <c r="Q31" s="242"/>
      <c r="R31" s="105"/>
      <c r="S31" s="105"/>
    </row>
    <row r="32" spans="1:19" ht="18.75">
      <c r="A32" s="287"/>
      <c r="B32" s="208" t="s">
        <v>279</v>
      </c>
      <c r="C32" s="230">
        <v>0.2</v>
      </c>
      <c r="D32" s="259">
        <v>62.51</v>
      </c>
      <c r="E32" s="231">
        <v>5.384</v>
      </c>
      <c r="F32" s="235">
        <f t="shared" si="1"/>
        <v>0.2525656565656566</v>
      </c>
      <c r="G32" s="231">
        <f t="shared" si="2"/>
        <v>0.2525656565656566</v>
      </c>
      <c r="H32" s="209">
        <f t="shared" si="3"/>
        <v>15.259599271974746</v>
      </c>
      <c r="I32" s="209">
        <v>0.15</v>
      </c>
      <c r="J32" s="209">
        <f t="shared" si="4"/>
        <v>1.2113364366641903</v>
      </c>
      <c r="K32" s="209">
        <f t="shared" si="0"/>
        <v>0.15</v>
      </c>
      <c r="L32" s="209">
        <f t="shared" si="5"/>
        <v>33.912000000000006</v>
      </c>
      <c r="M32" s="209">
        <f t="shared" si="6"/>
        <v>34.344799217115835</v>
      </c>
      <c r="N32" s="241" t="str">
        <f t="shared" si="7"/>
        <v>Không</v>
      </c>
      <c r="O32" s="246"/>
      <c r="P32" s="243"/>
      <c r="Q32" s="242"/>
      <c r="R32" s="105"/>
      <c r="S32" s="105"/>
    </row>
    <row r="33" spans="1:19" ht="18.75">
      <c r="A33" s="287"/>
      <c r="B33" s="208" t="s">
        <v>280</v>
      </c>
      <c r="C33" s="230">
        <v>0.2</v>
      </c>
      <c r="D33" s="259">
        <v>163.119</v>
      </c>
      <c r="E33" s="231">
        <v>24.382</v>
      </c>
      <c r="F33" s="235">
        <f t="shared" si="1"/>
        <v>0.6590666666666667</v>
      </c>
      <c r="G33" s="231">
        <f t="shared" si="2"/>
        <v>0.5</v>
      </c>
      <c r="H33" s="209">
        <f t="shared" si="3"/>
        <v>0.8910566930038398</v>
      </c>
      <c r="I33" s="209">
        <v>0.15</v>
      </c>
      <c r="J33" s="209">
        <f t="shared" si="4"/>
        <v>0.32032531683208926</v>
      </c>
      <c r="K33" s="209">
        <f t="shared" si="0"/>
        <v>0.15</v>
      </c>
      <c r="L33" s="209">
        <f t="shared" si="5"/>
        <v>33.912000000000006</v>
      </c>
      <c r="M33" s="209">
        <f t="shared" si="6"/>
        <v>37.58429094714972</v>
      </c>
      <c r="N33" s="241" t="str">
        <f t="shared" si="7"/>
        <v>Không</v>
      </c>
      <c r="O33" s="246"/>
      <c r="P33" s="243"/>
      <c r="Q33" s="242"/>
      <c r="R33" s="105"/>
      <c r="S33" s="105"/>
    </row>
    <row r="34" spans="15:19" ht="15.75">
      <c r="O34" s="105"/>
      <c r="P34" s="105"/>
      <c r="Q34" s="105"/>
      <c r="R34" s="105"/>
      <c r="S34" s="105"/>
    </row>
  </sheetData>
  <sheetProtection/>
  <mergeCells count="12">
    <mergeCell ref="A1:L1"/>
    <mergeCell ref="A18:B18"/>
    <mergeCell ref="A19:A23"/>
    <mergeCell ref="A24:A28"/>
    <mergeCell ref="A29:A33"/>
    <mergeCell ref="L7:M7"/>
    <mergeCell ref="J7:K7"/>
    <mergeCell ref="A7:A8"/>
    <mergeCell ref="B7:B8"/>
    <mergeCell ref="C7:C8"/>
    <mergeCell ref="E7:E8"/>
    <mergeCell ref="A14:L1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3"/>
  <sheetViews>
    <sheetView workbookViewId="0" topLeftCell="A1">
      <selection activeCell="B3" sqref="B3"/>
    </sheetView>
  </sheetViews>
  <sheetFormatPr defaultColWidth="9.140625" defaultRowHeight="12.75"/>
  <cols>
    <col min="1" max="1" width="13.00390625" style="180" customWidth="1"/>
    <col min="2" max="2" width="8.8515625" style="180" customWidth="1"/>
    <col min="3" max="3" width="12.140625" style="180" customWidth="1"/>
    <col min="4" max="4" width="11.57421875" style="180" customWidth="1"/>
    <col min="5" max="5" width="8.421875" style="180" bestFit="1" customWidth="1"/>
    <col min="6" max="6" width="14.00390625" style="180" customWidth="1"/>
    <col min="7" max="7" width="19.140625" style="180" customWidth="1"/>
    <col min="8" max="8" width="9.8515625" style="180" customWidth="1"/>
    <col min="9" max="9" width="10.00390625" style="180" customWidth="1"/>
    <col min="10" max="10" width="8.00390625" style="180" customWidth="1"/>
    <col min="11" max="11" width="10.00390625" style="180" customWidth="1"/>
    <col min="12" max="12" width="7.8515625" style="180" customWidth="1"/>
    <col min="13" max="13" width="5.7109375" style="180" customWidth="1"/>
    <col min="14" max="14" width="10.421875" style="180" customWidth="1"/>
    <col min="15" max="15" width="12.140625" style="180" customWidth="1"/>
    <col min="16" max="18" width="9.140625" style="180" customWidth="1"/>
    <col min="19" max="19" width="11.140625" style="180" customWidth="1"/>
    <col min="20" max="20" width="11.57421875" style="180" customWidth="1"/>
    <col min="21" max="21" width="10.7109375" style="180" customWidth="1"/>
    <col min="22" max="16384" width="9.140625" style="180" customWidth="1"/>
  </cols>
  <sheetData>
    <row r="1" spans="2:11" ht="18.75">
      <c r="B1" s="311" t="s">
        <v>253</v>
      </c>
      <c r="C1" s="311"/>
      <c r="D1" s="311"/>
      <c r="E1" s="311"/>
      <c r="F1" s="311"/>
      <c r="G1" s="311"/>
      <c r="H1" s="311"/>
      <c r="I1" s="310" t="s">
        <v>254</v>
      </c>
      <c r="J1" s="310"/>
      <c r="K1" s="310"/>
    </row>
    <row r="2" spans="2:8" ht="15.75">
      <c r="B2" s="228" t="s">
        <v>43</v>
      </c>
      <c r="C2" s="202" t="s">
        <v>282</v>
      </c>
      <c r="D2" s="228"/>
      <c r="E2" s="228"/>
      <c r="F2" s="228"/>
      <c r="G2" s="228"/>
      <c r="H2" s="228"/>
    </row>
    <row r="3" spans="2:8" ht="18.75">
      <c r="B3" s="181" t="s">
        <v>247</v>
      </c>
      <c r="C3" s="102">
        <v>3.6</v>
      </c>
      <c r="D3" s="198" t="s">
        <v>255</v>
      </c>
      <c r="E3" s="203"/>
      <c r="F3" s="181" t="s">
        <v>313</v>
      </c>
      <c r="G3" s="102">
        <v>0.681</v>
      </c>
      <c r="H3" s="198"/>
    </row>
    <row r="4" spans="2:8" ht="18.75">
      <c r="B4" s="181" t="s">
        <v>7</v>
      </c>
      <c r="C4" s="102">
        <v>0.2</v>
      </c>
      <c r="D4" s="198" t="s">
        <v>255</v>
      </c>
      <c r="E4" s="99"/>
      <c r="F4" s="181" t="s">
        <v>314</v>
      </c>
      <c r="G4" s="102">
        <v>23000000</v>
      </c>
      <c r="H4" s="198" t="s">
        <v>312</v>
      </c>
    </row>
    <row r="5" spans="2:8" ht="18.75">
      <c r="B5" s="181" t="s">
        <v>8</v>
      </c>
      <c r="C5" s="102">
        <v>0.25</v>
      </c>
      <c r="D5" s="198" t="s">
        <v>255</v>
      </c>
      <c r="E5" s="99"/>
      <c r="F5" s="181" t="s">
        <v>315</v>
      </c>
      <c r="G5" s="102">
        <v>210000000</v>
      </c>
      <c r="H5" s="198" t="s">
        <v>312</v>
      </c>
    </row>
    <row r="6" spans="2:10" ht="18.75">
      <c r="B6" s="181" t="s">
        <v>316</v>
      </c>
      <c r="C6" s="207">
        <f>IF(C2="trệt",0.7*C3,C3)</f>
        <v>3.6</v>
      </c>
      <c r="D6" s="198" t="s">
        <v>255</v>
      </c>
      <c r="E6" s="99"/>
      <c r="F6" s="181" t="s">
        <v>317</v>
      </c>
      <c r="G6" s="102">
        <v>0.85</v>
      </c>
      <c r="H6" s="198"/>
      <c r="I6" s="99"/>
      <c r="J6" s="99"/>
    </row>
    <row r="7" spans="2:10" ht="18.75">
      <c r="B7" s="181" t="s">
        <v>195</v>
      </c>
      <c r="C7" s="102">
        <v>0.03</v>
      </c>
      <c r="D7" s="198" t="s">
        <v>255</v>
      </c>
      <c r="E7" s="99"/>
      <c r="F7" s="181" t="s">
        <v>318</v>
      </c>
      <c r="G7" s="102">
        <v>8500</v>
      </c>
      <c r="H7" s="198" t="s">
        <v>312</v>
      </c>
      <c r="I7" s="99"/>
      <c r="J7" s="99"/>
    </row>
    <row r="8" spans="2:15" ht="18.75">
      <c r="B8" s="181" t="s">
        <v>256</v>
      </c>
      <c r="C8" s="102">
        <v>0.03</v>
      </c>
      <c r="D8" s="198" t="s">
        <v>255</v>
      </c>
      <c r="E8" s="203"/>
      <c r="F8" s="181" t="s">
        <v>319</v>
      </c>
      <c r="G8" s="102">
        <v>280000</v>
      </c>
      <c r="H8" s="198" t="s">
        <v>312</v>
      </c>
      <c r="I8" s="99"/>
      <c r="J8" s="105"/>
      <c r="K8" s="192"/>
      <c r="L8" s="192"/>
      <c r="M8" s="192"/>
      <c r="N8" s="192"/>
      <c r="O8" s="192"/>
    </row>
    <row r="9" spans="2:21" ht="15.75">
      <c r="B9" s="181"/>
      <c r="C9" s="99"/>
      <c r="D9" s="99"/>
      <c r="E9" s="203"/>
      <c r="F9" s="99"/>
      <c r="G9" s="99"/>
      <c r="H9" s="99"/>
      <c r="I9" s="99"/>
      <c r="J9" s="182"/>
      <c r="K9" s="182"/>
      <c r="L9" s="182"/>
      <c r="M9" s="182"/>
      <c r="N9" s="182"/>
      <c r="O9" s="182"/>
      <c r="P9" s="308"/>
      <c r="Q9" s="308"/>
      <c r="R9" s="308"/>
      <c r="S9" s="308"/>
      <c r="T9" s="308"/>
      <c r="U9" s="308"/>
    </row>
    <row r="10" spans="2:21" ht="18.75">
      <c r="B10" s="181" t="s">
        <v>248</v>
      </c>
      <c r="C10" s="99">
        <f>$C$6/$C$5</f>
        <v>14.4</v>
      </c>
      <c r="D10" s="99"/>
      <c r="E10" s="181" t="s">
        <v>295</v>
      </c>
      <c r="F10" s="99">
        <f>1+(D18+E18*C14)/(B18+C18*C14)</f>
        <v>1.8686855942890899</v>
      </c>
      <c r="G10" s="181" t="s">
        <v>296</v>
      </c>
      <c r="H10" s="99">
        <f>6.4*G4/C6^2*(F12/F10*(0.11/(0.1+C13/C5)+0.1)+F11*F14)</f>
        <v>836.8595852096835</v>
      </c>
      <c r="I10" s="99"/>
      <c r="J10" s="182"/>
      <c r="K10" s="182"/>
      <c r="L10" s="182"/>
      <c r="M10" s="182"/>
      <c r="N10" s="183"/>
      <c r="O10" s="183"/>
      <c r="P10" s="308"/>
      <c r="Q10" s="308"/>
      <c r="R10" s="308"/>
      <c r="S10" s="308"/>
      <c r="T10" s="183"/>
      <c r="U10" s="183"/>
    </row>
    <row r="11" spans="2:21" ht="18.75">
      <c r="B11" s="181" t="s">
        <v>297</v>
      </c>
      <c r="C11" s="99">
        <f>$D$18/$E$18</f>
        <v>0.1298339290249447</v>
      </c>
      <c r="D11" s="99"/>
      <c r="E11" s="181" t="s">
        <v>251</v>
      </c>
      <c r="F11" s="99">
        <f>G5/G4</f>
        <v>9.130434782608695</v>
      </c>
      <c r="G11" s="181" t="s">
        <v>250</v>
      </c>
      <c r="H11" s="99">
        <f>1/(1-C18/H10)</f>
        <v>1.2421095056181508</v>
      </c>
      <c r="I11" s="99"/>
      <c r="J11" s="184"/>
      <c r="K11" s="185"/>
      <c r="L11" s="186"/>
      <c r="M11" s="187"/>
      <c r="N11" s="188"/>
      <c r="O11" s="188"/>
      <c r="P11" s="184"/>
      <c r="Q11" s="185"/>
      <c r="R11" s="186"/>
      <c r="S11" s="187"/>
      <c r="T11" s="229"/>
      <c r="U11" s="229"/>
    </row>
    <row r="12" spans="2:21" ht="18.75">
      <c r="B12" s="181" t="s">
        <v>298</v>
      </c>
      <c r="C12" s="99">
        <f>MAX(C5/30,C3/600)</f>
        <v>0.008333333333333333</v>
      </c>
      <c r="D12" s="99"/>
      <c r="E12" s="181" t="s">
        <v>299</v>
      </c>
      <c r="F12" s="99">
        <f>C4*C5^3/12</f>
        <v>0.00026041666666666666</v>
      </c>
      <c r="G12" s="181" t="s">
        <v>13</v>
      </c>
      <c r="H12" s="99">
        <f>H11*C13+0.5*C5-C7</f>
        <v>0.26661886994045403</v>
      </c>
      <c r="I12" s="99"/>
      <c r="J12" s="184"/>
      <c r="K12" s="185"/>
      <c r="L12" s="186"/>
      <c r="M12" s="187"/>
      <c r="N12" s="188"/>
      <c r="O12" s="188"/>
      <c r="P12" s="184"/>
      <c r="Q12" s="185"/>
      <c r="R12" s="186"/>
      <c r="S12" s="187"/>
      <c r="T12" s="229"/>
      <c r="U12" s="229"/>
    </row>
    <row r="13" spans="2:21" ht="18.75">
      <c r="B13" s="181" t="s">
        <v>300</v>
      </c>
      <c r="C13" s="99">
        <f>C11+C12</f>
        <v>0.13816726235827803</v>
      </c>
      <c r="D13" s="99"/>
      <c r="E13" s="181" t="s">
        <v>301</v>
      </c>
      <c r="F13" s="99">
        <v>0.01</v>
      </c>
      <c r="G13" s="181" t="s">
        <v>14</v>
      </c>
      <c r="H13" s="99">
        <f>H11*C13-0.5*C5+C8</f>
        <v>0.07661886994045405</v>
      </c>
      <c r="I13" s="99"/>
      <c r="J13" s="184"/>
      <c r="K13" s="185"/>
      <c r="L13" s="186"/>
      <c r="M13" s="187"/>
      <c r="N13" s="188"/>
      <c r="O13" s="188"/>
      <c r="P13" s="184"/>
      <c r="Q13" s="185"/>
      <c r="R13" s="186"/>
      <c r="S13" s="187"/>
      <c r="T13" s="229"/>
      <c r="U13" s="229"/>
    </row>
    <row r="14" spans="2:21" ht="15.75">
      <c r="B14" s="181" t="s">
        <v>249</v>
      </c>
      <c r="C14" s="99">
        <f>C5/2</f>
        <v>0.125</v>
      </c>
      <c r="D14" s="99"/>
      <c r="E14" s="181" t="s">
        <v>302</v>
      </c>
      <c r="F14" s="99">
        <f>F13*C4*(C5-C7)*(C5/2-C7)^2</f>
        <v>3.971E-06</v>
      </c>
      <c r="G14" s="181" t="s">
        <v>26</v>
      </c>
      <c r="H14" s="99">
        <f>(C18/(G6*G7*C4))</f>
        <v>0.11288512110726644</v>
      </c>
      <c r="I14" s="99"/>
      <c r="J14" s="189"/>
      <c r="K14" s="190"/>
      <c r="L14" s="191"/>
      <c r="M14" s="192"/>
      <c r="N14" s="192"/>
      <c r="O14" s="192"/>
      <c r="P14" s="192"/>
      <c r="Q14" s="192"/>
      <c r="R14" s="192"/>
      <c r="S14" s="192"/>
      <c r="T14" s="192"/>
      <c r="U14" s="192"/>
    </row>
    <row r="15" spans="2:21" ht="15.75">
      <c r="B15" s="99"/>
      <c r="C15" s="99"/>
      <c r="D15" s="99"/>
      <c r="E15" s="99"/>
      <c r="F15" s="99"/>
      <c r="G15" s="181" t="s">
        <v>257</v>
      </c>
      <c r="H15" s="99">
        <f>2*C8</f>
        <v>0.06</v>
      </c>
      <c r="I15" s="99"/>
      <c r="J15" s="189"/>
      <c r="K15" s="190"/>
      <c r="L15" s="193"/>
      <c r="M15" s="192"/>
      <c r="N15" s="192"/>
      <c r="O15" s="192"/>
      <c r="P15" s="192"/>
      <c r="Q15" s="192"/>
      <c r="R15" s="192"/>
      <c r="S15" s="192"/>
      <c r="T15" s="192"/>
      <c r="U15" s="192"/>
    </row>
    <row r="16" spans="2:21" ht="18.75">
      <c r="B16" s="194" t="s">
        <v>258</v>
      </c>
      <c r="C16" s="195">
        <f>IF(H14&gt;H15,C18*(H12-(C5-C7)+H14/2)/(G8*(C5-C7-C8)),0)</f>
        <v>0.00031600145640535746</v>
      </c>
      <c r="D16" s="196" t="s">
        <v>259</v>
      </c>
      <c r="E16" s="197">
        <f>C16*10000</f>
        <v>3.160014564053575</v>
      </c>
      <c r="F16" s="198" t="s">
        <v>260</v>
      </c>
      <c r="G16" s="181" t="s">
        <v>303</v>
      </c>
      <c r="H16" s="99">
        <f>G3*(C5-C7)</f>
        <v>0.14982</v>
      </c>
      <c r="I16" s="99"/>
      <c r="J16" s="189"/>
      <c r="K16" s="190"/>
      <c r="L16" s="199"/>
      <c r="M16" s="192"/>
      <c r="N16" s="192"/>
      <c r="O16" s="192"/>
      <c r="P16" s="192"/>
      <c r="Q16" s="192"/>
      <c r="R16" s="192"/>
      <c r="S16" s="192"/>
      <c r="T16" s="192"/>
      <c r="U16" s="192"/>
    </row>
    <row r="17" spans="2:21" ht="15.75">
      <c r="B17" s="181" t="s">
        <v>1</v>
      </c>
      <c r="C17" s="181" t="s">
        <v>0</v>
      </c>
      <c r="D17" s="181" t="s">
        <v>12</v>
      </c>
      <c r="E17" s="181" t="s">
        <v>11</v>
      </c>
      <c r="F17" s="99"/>
      <c r="G17" s="99"/>
      <c r="H17" s="99"/>
      <c r="I17" s="99"/>
      <c r="J17" s="189"/>
      <c r="K17" s="190"/>
      <c r="L17" s="193"/>
      <c r="M17" s="192"/>
      <c r="N17" s="192"/>
      <c r="O17" s="192"/>
      <c r="P17" s="192"/>
      <c r="Q17" s="192"/>
      <c r="R17" s="192"/>
      <c r="S17" s="192"/>
      <c r="T17" s="192"/>
      <c r="U17" s="192"/>
    </row>
    <row r="18" spans="2:21" ht="15.75">
      <c r="B18" s="19">
        <v>26.9686</v>
      </c>
      <c r="C18" s="19">
        <v>163.119</v>
      </c>
      <c r="D18" s="93">
        <v>20.96</v>
      </c>
      <c r="E18" s="93">
        <v>161.437</v>
      </c>
      <c r="F18" s="99"/>
      <c r="G18" s="176"/>
      <c r="H18" s="177"/>
      <c r="I18" s="99"/>
      <c r="J18" s="189"/>
      <c r="K18" s="190"/>
      <c r="L18" s="191"/>
      <c r="M18" s="192"/>
      <c r="N18" s="192"/>
      <c r="O18" s="192"/>
      <c r="P18" s="192"/>
      <c r="Q18" s="192"/>
      <c r="R18" s="192"/>
      <c r="S18" s="192"/>
      <c r="T18" s="192"/>
      <c r="U18" s="192"/>
    </row>
    <row r="19" spans="2:12" ht="15.75">
      <c r="B19" s="198" t="s">
        <v>261</v>
      </c>
      <c r="C19" s="198" t="s">
        <v>262</v>
      </c>
      <c r="D19" s="198" t="s">
        <v>261</v>
      </c>
      <c r="E19" s="198" t="s">
        <v>262</v>
      </c>
      <c r="F19" s="99"/>
      <c r="G19" s="178"/>
      <c r="H19" s="179"/>
      <c r="I19" s="99"/>
      <c r="J19" s="105"/>
      <c r="K19" s="192"/>
      <c r="L19" s="192"/>
    </row>
    <row r="20" spans="2:10" ht="15.75">
      <c r="B20" s="200" t="s">
        <v>24</v>
      </c>
      <c r="C20" s="196">
        <f>IF(H14&lt;H15,C18*H13/(G8*(C5-C7-C8)),0)</f>
        <v>0</v>
      </c>
      <c r="D20" s="196" t="s">
        <v>259</v>
      </c>
      <c r="E20" s="197">
        <f>C20*10000</f>
        <v>0</v>
      </c>
      <c r="F20" s="198" t="s">
        <v>260</v>
      </c>
      <c r="G20" s="178"/>
      <c r="H20" s="179"/>
      <c r="I20" s="99"/>
      <c r="J20" s="99"/>
    </row>
    <row r="21" spans="6:14" ht="15.75">
      <c r="F21" s="18"/>
      <c r="G21" s="18"/>
      <c r="H21" s="18" t="s">
        <v>147</v>
      </c>
      <c r="I21" s="18" t="s">
        <v>1</v>
      </c>
      <c r="J21" s="18" t="s">
        <v>0</v>
      </c>
      <c r="K21" s="18" t="s">
        <v>12</v>
      </c>
      <c r="L21" s="18" t="s">
        <v>11</v>
      </c>
      <c r="M21" s="18" t="s">
        <v>24</v>
      </c>
      <c r="N21" s="18" t="s">
        <v>41</v>
      </c>
    </row>
    <row r="22" spans="6:14" ht="15.75">
      <c r="F22" s="269" t="s">
        <v>263</v>
      </c>
      <c r="G22" s="83" t="s">
        <v>266</v>
      </c>
      <c r="H22" s="18" t="s">
        <v>264</v>
      </c>
      <c r="I22" s="19">
        <v>33.79</v>
      </c>
      <c r="J22" s="19">
        <v>437.923</v>
      </c>
      <c r="K22" s="18">
        <v>33.81</v>
      </c>
      <c r="L22" s="18">
        <v>394.803</v>
      </c>
      <c r="M22" s="19">
        <v>7.36</v>
      </c>
      <c r="N22" s="18" t="s">
        <v>285</v>
      </c>
    </row>
    <row r="23" spans="6:14" ht="15.75">
      <c r="F23" s="269"/>
      <c r="G23" s="83" t="s">
        <v>267</v>
      </c>
      <c r="H23" s="18" t="s">
        <v>264</v>
      </c>
      <c r="I23" s="19">
        <v>29.4062</v>
      </c>
      <c r="J23" s="19">
        <v>394.634</v>
      </c>
      <c r="K23" s="18">
        <v>29.369</v>
      </c>
      <c r="L23" s="18">
        <v>333.312</v>
      </c>
      <c r="M23" s="19">
        <v>5.81</v>
      </c>
      <c r="N23" s="18" t="s">
        <v>286</v>
      </c>
    </row>
    <row r="24" spans="6:14" ht="15.75">
      <c r="F24" s="269"/>
      <c r="G24" s="83" t="s">
        <v>268</v>
      </c>
      <c r="H24" s="18" t="s">
        <v>264</v>
      </c>
      <c r="I24" s="19">
        <v>30.98</v>
      </c>
      <c r="J24" s="19">
        <v>351.664</v>
      </c>
      <c r="K24" s="18">
        <v>31.0217</v>
      </c>
      <c r="L24" s="18">
        <v>314.511</v>
      </c>
      <c r="M24" s="19">
        <v>4.96</v>
      </c>
      <c r="N24" s="18" t="s">
        <v>286</v>
      </c>
    </row>
    <row r="25" spans="6:14" ht="15.75">
      <c r="F25" s="269"/>
      <c r="G25" s="83" t="s">
        <v>269</v>
      </c>
      <c r="H25" s="18" t="s">
        <v>264</v>
      </c>
      <c r="I25" s="19">
        <v>29.404</v>
      </c>
      <c r="J25" s="19">
        <v>96.97</v>
      </c>
      <c r="K25" s="93">
        <v>29.39</v>
      </c>
      <c r="L25" s="18">
        <v>78.625</v>
      </c>
      <c r="M25" s="19">
        <v>4.11</v>
      </c>
      <c r="N25" s="18" t="s">
        <v>167</v>
      </c>
    </row>
    <row r="26" spans="6:14" ht="15.75">
      <c r="F26" s="269"/>
      <c r="G26" s="83" t="s">
        <v>270</v>
      </c>
      <c r="H26" s="18" t="s">
        <v>264</v>
      </c>
      <c r="I26" s="19">
        <v>34</v>
      </c>
      <c r="J26" s="19">
        <v>339.26</v>
      </c>
      <c r="K26" s="93">
        <v>31.05</v>
      </c>
      <c r="L26" s="93">
        <v>325.802</v>
      </c>
      <c r="M26" s="19">
        <v>4.35</v>
      </c>
      <c r="N26" s="18" t="s">
        <v>167</v>
      </c>
    </row>
    <row r="27" spans="6:14" ht="15.75">
      <c r="F27" s="269" t="s">
        <v>283</v>
      </c>
      <c r="G27" s="83" t="s">
        <v>271</v>
      </c>
      <c r="H27" s="18" t="s">
        <v>265</v>
      </c>
      <c r="I27" s="19">
        <v>24.85</v>
      </c>
      <c r="J27" s="19">
        <v>239.292</v>
      </c>
      <c r="K27" s="93">
        <v>24.25</v>
      </c>
      <c r="L27" s="93">
        <v>222.68</v>
      </c>
      <c r="M27" s="19">
        <v>5.95</v>
      </c>
      <c r="N27" s="18" t="s">
        <v>286</v>
      </c>
    </row>
    <row r="28" spans="6:14" ht="15.75">
      <c r="F28" s="269"/>
      <c r="G28" s="83" t="s">
        <v>272</v>
      </c>
      <c r="H28" s="18" t="s">
        <v>265</v>
      </c>
      <c r="I28" s="19">
        <v>19.61</v>
      </c>
      <c r="J28" s="19">
        <v>219.749</v>
      </c>
      <c r="K28" s="93">
        <v>18.53</v>
      </c>
      <c r="L28" s="93">
        <v>203.075</v>
      </c>
      <c r="M28" s="19">
        <v>3.74</v>
      </c>
      <c r="N28" s="18" t="s">
        <v>167</v>
      </c>
    </row>
    <row r="29" spans="6:14" ht="15.75">
      <c r="F29" s="269"/>
      <c r="G29" s="83" t="s">
        <v>273</v>
      </c>
      <c r="H29" s="18" t="s">
        <v>265</v>
      </c>
      <c r="I29" s="19">
        <v>22.08</v>
      </c>
      <c r="J29" s="19">
        <v>177.85</v>
      </c>
      <c r="K29" s="93">
        <v>21.83</v>
      </c>
      <c r="L29" s="93">
        <v>168.51</v>
      </c>
      <c r="M29" s="19">
        <v>4.07</v>
      </c>
      <c r="N29" s="18" t="s">
        <v>167</v>
      </c>
    </row>
    <row r="30" spans="6:14" ht="15.75">
      <c r="F30" s="269"/>
      <c r="G30" s="83" t="s">
        <v>274</v>
      </c>
      <c r="H30" s="18" t="s">
        <v>265</v>
      </c>
      <c r="I30" s="19">
        <v>17.9079</v>
      </c>
      <c r="J30" s="19">
        <v>29.046</v>
      </c>
      <c r="K30" s="93">
        <v>18.01</v>
      </c>
      <c r="L30" s="93">
        <v>13.597</v>
      </c>
      <c r="M30" s="19">
        <v>7.2</v>
      </c>
      <c r="N30" s="18" t="s">
        <v>285</v>
      </c>
    </row>
    <row r="31" spans="6:14" ht="15.75">
      <c r="F31" s="269"/>
      <c r="G31" s="83" t="s">
        <v>275</v>
      </c>
      <c r="H31" s="18" t="s">
        <v>265</v>
      </c>
      <c r="I31" s="19">
        <v>24.5777</v>
      </c>
      <c r="J31" s="19">
        <v>222.06</v>
      </c>
      <c r="K31" s="93">
        <v>25.38</v>
      </c>
      <c r="L31" s="93">
        <v>219.298</v>
      </c>
      <c r="M31" s="19">
        <v>5.54</v>
      </c>
      <c r="N31" s="18" t="s">
        <v>286</v>
      </c>
    </row>
    <row r="32" spans="6:14" ht="15.75">
      <c r="F32" s="269" t="s">
        <v>284</v>
      </c>
      <c r="G32" s="83" t="s">
        <v>276</v>
      </c>
      <c r="H32" s="18" t="s">
        <v>281</v>
      </c>
      <c r="I32" s="19">
        <v>18.6939</v>
      </c>
      <c r="J32" s="19">
        <v>52.853</v>
      </c>
      <c r="K32" s="93">
        <v>16.503</v>
      </c>
      <c r="L32" s="93">
        <v>53.85</v>
      </c>
      <c r="M32" s="19">
        <v>4.17</v>
      </c>
      <c r="N32" s="18" t="s">
        <v>167</v>
      </c>
    </row>
    <row r="33" spans="6:14" ht="15.75">
      <c r="F33" s="269"/>
      <c r="G33" s="83" t="s">
        <v>277</v>
      </c>
      <c r="H33" s="18" t="s">
        <v>281</v>
      </c>
      <c r="I33" s="19">
        <v>8.393</v>
      </c>
      <c r="J33" s="19">
        <v>33.334</v>
      </c>
      <c r="K33" s="93">
        <v>6.71</v>
      </c>
      <c r="L33" s="93">
        <v>22.677</v>
      </c>
      <c r="M33" s="19">
        <v>2.28</v>
      </c>
      <c r="N33" s="18" t="s">
        <v>167</v>
      </c>
    </row>
    <row r="34" spans="6:14" ht="15.75">
      <c r="F34" s="269"/>
      <c r="G34" s="83" t="s">
        <v>278</v>
      </c>
      <c r="H34" s="18" t="s">
        <v>281</v>
      </c>
      <c r="I34" s="19">
        <v>13.173</v>
      </c>
      <c r="J34" s="19">
        <v>23.802</v>
      </c>
      <c r="K34" s="93">
        <v>11.11</v>
      </c>
      <c r="L34" s="93">
        <v>24.207</v>
      </c>
      <c r="M34" s="19">
        <v>2.65</v>
      </c>
      <c r="N34" s="18" t="s">
        <v>167</v>
      </c>
    </row>
    <row r="35" spans="6:14" ht="15.75">
      <c r="F35" s="269"/>
      <c r="G35" s="83" t="s">
        <v>279</v>
      </c>
      <c r="H35" s="18" t="s">
        <v>281</v>
      </c>
      <c r="I35" s="19">
        <v>9.375</v>
      </c>
      <c r="J35" s="19">
        <v>62.51</v>
      </c>
      <c r="K35" s="93">
        <v>7.76</v>
      </c>
      <c r="L35" s="93">
        <v>82.435</v>
      </c>
      <c r="M35" s="19">
        <v>0.8</v>
      </c>
      <c r="N35" s="18" t="s">
        <v>167</v>
      </c>
    </row>
    <row r="36" spans="6:14" ht="15.75">
      <c r="F36" s="269"/>
      <c r="G36" s="83" t="s">
        <v>280</v>
      </c>
      <c r="H36" s="18" t="s">
        <v>265</v>
      </c>
      <c r="I36" s="19">
        <v>26.9686</v>
      </c>
      <c r="J36" s="19">
        <v>163.119</v>
      </c>
      <c r="K36" s="93">
        <v>20.96</v>
      </c>
      <c r="L36" s="93">
        <v>161.437</v>
      </c>
      <c r="M36" s="19">
        <v>3.16</v>
      </c>
      <c r="N36" s="18" t="s">
        <v>167</v>
      </c>
    </row>
    <row r="37" spans="1:4" ht="15.75">
      <c r="A37" s="309" t="s">
        <v>291</v>
      </c>
      <c r="B37" s="309"/>
      <c r="C37" s="309"/>
      <c r="D37" s="309"/>
    </row>
    <row r="38" spans="1:7" ht="39" customHeight="1">
      <c r="A38" s="79" t="s">
        <v>287</v>
      </c>
      <c r="B38" s="79" t="s">
        <v>288</v>
      </c>
      <c r="C38" s="79" t="s">
        <v>289</v>
      </c>
      <c r="D38" s="79" t="s">
        <v>290</v>
      </c>
      <c r="E38" s="79" t="s">
        <v>304</v>
      </c>
      <c r="F38" s="79" t="s">
        <v>294</v>
      </c>
      <c r="G38" s="79" t="s">
        <v>292</v>
      </c>
    </row>
    <row r="39" spans="1:7" ht="15.75">
      <c r="A39" s="269" t="s">
        <v>209</v>
      </c>
      <c r="B39" s="75" t="s">
        <v>5</v>
      </c>
      <c r="C39" s="75">
        <v>1.2</v>
      </c>
      <c r="D39" s="109">
        <f>J22</f>
        <v>437.923</v>
      </c>
      <c r="E39" s="110">
        <f>C39*D39/(0.85*8500)</f>
        <v>0.07273461591695501</v>
      </c>
      <c r="F39" s="18" t="s">
        <v>264</v>
      </c>
      <c r="G39" s="201">
        <f>(VALUE(LEFT(F39,3))*VALUE(RIGHT(F39,3))*25*1.1*3.88)/1000000</f>
        <v>6.402000000000001</v>
      </c>
    </row>
    <row r="40" spans="1:7" ht="15.75">
      <c r="A40" s="269"/>
      <c r="B40" s="75" t="s">
        <v>2</v>
      </c>
      <c r="C40" s="75">
        <v>1.2</v>
      </c>
      <c r="D40" s="109">
        <f aca="true" t="shared" si="0" ref="D40:D53">J23</f>
        <v>394.634</v>
      </c>
      <c r="E40" s="110">
        <f aca="true" t="shared" si="1" ref="E40:E53">C40*D40/(0.85*8500)</f>
        <v>0.06554474740484428</v>
      </c>
      <c r="F40" s="18" t="s">
        <v>264</v>
      </c>
      <c r="G40" s="201">
        <f>(VALUE(LEFT(F40,3))*VALUE(RIGHT(F40,3))*25*1.1*3.88)/1000000</f>
        <v>6.402000000000001</v>
      </c>
    </row>
    <row r="41" spans="1:7" ht="15.75">
      <c r="A41" s="269"/>
      <c r="B41" s="75" t="s">
        <v>3</v>
      </c>
      <c r="C41" s="75">
        <v>1.2</v>
      </c>
      <c r="D41" s="109">
        <f t="shared" si="0"/>
        <v>351.664</v>
      </c>
      <c r="E41" s="110">
        <f t="shared" si="1"/>
        <v>0.0584078615916955</v>
      </c>
      <c r="F41" s="18" t="s">
        <v>264</v>
      </c>
      <c r="G41" s="201">
        <f>(VALUE(LEFT(F41,3))*VALUE(RIGHT(F41,3))*25*1.1*3.88)/1000000</f>
        <v>6.402000000000001</v>
      </c>
    </row>
    <row r="42" spans="1:7" ht="15.75">
      <c r="A42" s="269"/>
      <c r="B42" s="75" t="s">
        <v>4</v>
      </c>
      <c r="C42" s="75">
        <v>1.2</v>
      </c>
      <c r="D42" s="109">
        <f t="shared" si="0"/>
        <v>96.97</v>
      </c>
      <c r="E42" s="110">
        <f t="shared" si="1"/>
        <v>0.016105743944636677</v>
      </c>
      <c r="F42" s="18" t="s">
        <v>264</v>
      </c>
      <c r="G42" s="201">
        <f>(VALUE(LEFT(F42,3))*VALUE(RIGHT(F42,3))*25*1.1*3.88)/1000000</f>
        <v>6.402000000000001</v>
      </c>
    </row>
    <row r="43" spans="1:7" ht="15.75">
      <c r="A43" s="269"/>
      <c r="B43" s="75" t="s">
        <v>244</v>
      </c>
      <c r="C43" s="75">
        <v>1.2</v>
      </c>
      <c r="D43" s="109">
        <f t="shared" si="0"/>
        <v>339.26</v>
      </c>
      <c r="E43" s="110">
        <f t="shared" si="1"/>
        <v>0.05634768166089965</v>
      </c>
      <c r="F43" s="18" t="s">
        <v>264</v>
      </c>
      <c r="G43" s="201">
        <f>(VALUE(LEFT(F43,3))*VALUE(RIGHT(F43,3))*25*1.1*3.88)/1000000</f>
        <v>6.402000000000001</v>
      </c>
    </row>
    <row r="44" spans="1:7" ht="15.75">
      <c r="A44" s="269" t="s">
        <v>239</v>
      </c>
      <c r="B44" s="75" t="s">
        <v>5</v>
      </c>
      <c r="C44" s="75">
        <v>1.2</v>
      </c>
      <c r="D44" s="109">
        <f t="shared" si="0"/>
        <v>239.292</v>
      </c>
      <c r="E44" s="110">
        <f t="shared" si="1"/>
        <v>0.039744</v>
      </c>
      <c r="F44" s="18" t="s">
        <v>265</v>
      </c>
      <c r="G44" s="201">
        <f>(VALUE(LEFT(F44,3))*VALUE(RIGHT(F44,3))*25*1.1*3.9)/1000000</f>
        <v>5.3625</v>
      </c>
    </row>
    <row r="45" spans="1:7" ht="15.75">
      <c r="A45" s="269"/>
      <c r="B45" s="75" t="s">
        <v>2</v>
      </c>
      <c r="C45" s="75">
        <v>1.2</v>
      </c>
      <c r="D45" s="109">
        <f t="shared" si="0"/>
        <v>219.749</v>
      </c>
      <c r="E45" s="110">
        <f t="shared" si="1"/>
        <v>0.03649810380622837</v>
      </c>
      <c r="F45" s="18" t="s">
        <v>265</v>
      </c>
      <c r="G45" s="201">
        <f>(VALUE(LEFT(F45,3))*VALUE(RIGHT(F45,3))*25*1.1*3.9)/1000000</f>
        <v>5.3625</v>
      </c>
    </row>
    <row r="46" spans="1:7" ht="15.75">
      <c r="A46" s="269"/>
      <c r="B46" s="75" t="s">
        <v>3</v>
      </c>
      <c r="C46" s="75">
        <v>1.2</v>
      </c>
      <c r="D46" s="109">
        <f t="shared" si="0"/>
        <v>177.85</v>
      </c>
      <c r="E46" s="110">
        <f t="shared" si="1"/>
        <v>0.02953910034602076</v>
      </c>
      <c r="F46" s="18" t="s">
        <v>265</v>
      </c>
      <c r="G46" s="201">
        <f>(VALUE(LEFT(F46,3))*VALUE(RIGHT(F46,3))*25*1.1*3.9)/1000000</f>
        <v>5.3625</v>
      </c>
    </row>
    <row r="47" spans="1:7" ht="15.75">
      <c r="A47" s="269"/>
      <c r="B47" s="75" t="s">
        <v>4</v>
      </c>
      <c r="C47" s="75">
        <v>1.2</v>
      </c>
      <c r="D47" s="109">
        <f t="shared" si="0"/>
        <v>29.046</v>
      </c>
      <c r="E47" s="110">
        <f t="shared" si="1"/>
        <v>0.004824249134948096</v>
      </c>
      <c r="F47" s="18" t="s">
        <v>265</v>
      </c>
      <c r="G47" s="201">
        <f>(VALUE(LEFT(F47,3))*VALUE(RIGHT(F47,3))*25*1.1*3.9)/1000000</f>
        <v>5.3625</v>
      </c>
    </row>
    <row r="48" spans="1:7" ht="15.75">
      <c r="A48" s="269"/>
      <c r="B48" s="75" t="s">
        <v>244</v>
      </c>
      <c r="C48" s="75">
        <v>1.2</v>
      </c>
      <c r="D48" s="109">
        <f t="shared" si="0"/>
        <v>222.06</v>
      </c>
      <c r="E48" s="110">
        <f t="shared" si="1"/>
        <v>0.036881937716262976</v>
      </c>
      <c r="F48" s="18" t="s">
        <v>265</v>
      </c>
      <c r="G48" s="201">
        <f>(VALUE(LEFT(F48,3))*VALUE(RIGHT(F48,3))*25*1.1*3.9)/1000000</f>
        <v>5.3625</v>
      </c>
    </row>
    <row r="49" spans="1:7" ht="15.75">
      <c r="A49" s="269" t="s">
        <v>293</v>
      </c>
      <c r="B49" s="75" t="s">
        <v>5</v>
      </c>
      <c r="C49" s="75">
        <v>1.2</v>
      </c>
      <c r="D49" s="109">
        <f t="shared" si="0"/>
        <v>52.853</v>
      </c>
      <c r="E49" s="110">
        <f t="shared" si="1"/>
        <v>0.008778352941176472</v>
      </c>
      <c r="F49" s="18" t="s">
        <v>281</v>
      </c>
      <c r="G49" s="201">
        <f>(VALUE(LEFT(F49,3))*VALUE(RIGHT(F49,3))*25*1.1*3.6)/1000000</f>
        <v>3.96</v>
      </c>
    </row>
    <row r="50" spans="1:7" ht="15.75">
      <c r="A50" s="269"/>
      <c r="B50" s="75" t="s">
        <v>2</v>
      </c>
      <c r="C50" s="75">
        <v>1.2</v>
      </c>
      <c r="D50" s="109">
        <f t="shared" si="0"/>
        <v>33.334</v>
      </c>
      <c r="E50" s="110">
        <f t="shared" si="1"/>
        <v>0.005536442906574395</v>
      </c>
      <c r="F50" s="18" t="s">
        <v>281</v>
      </c>
      <c r="G50" s="201">
        <f>(VALUE(LEFT(F50,3))*VALUE(RIGHT(F50,3))*25*1.1*3.6)/1000000</f>
        <v>3.96</v>
      </c>
    </row>
    <row r="51" spans="1:7" ht="15.75">
      <c r="A51" s="269"/>
      <c r="B51" s="75" t="s">
        <v>3</v>
      </c>
      <c r="C51" s="75">
        <v>1.2</v>
      </c>
      <c r="D51" s="109">
        <f t="shared" si="0"/>
        <v>23.802</v>
      </c>
      <c r="E51" s="110">
        <f t="shared" si="1"/>
        <v>0.003953273356401384</v>
      </c>
      <c r="F51" s="18" t="s">
        <v>281</v>
      </c>
      <c r="G51" s="201">
        <f>(VALUE(LEFT(F51,3))*VALUE(RIGHT(F51,3))*25*1.1*3.6)/1000000</f>
        <v>3.96</v>
      </c>
    </row>
    <row r="52" spans="1:7" ht="15.75">
      <c r="A52" s="269"/>
      <c r="B52" s="75" t="s">
        <v>4</v>
      </c>
      <c r="C52" s="75">
        <v>1.2</v>
      </c>
      <c r="D52" s="109">
        <f t="shared" si="0"/>
        <v>62.51</v>
      </c>
      <c r="E52" s="110">
        <f t="shared" si="1"/>
        <v>0.010382283737024222</v>
      </c>
      <c r="F52" s="18" t="s">
        <v>281</v>
      </c>
      <c r="G52" s="201">
        <f>(VALUE(LEFT(F52,3))*VALUE(RIGHT(F52,3))*25*1.1*3.6)/1000000</f>
        <v>3.96</v>
      </c>
    </row>
    <row r="53" spans="1:7" ht="15.75">
      <c r="A53" s="269"/>
      <c r="B53" s="75" t="s">
        <v>244</v>
      </c>
      <c r="C53" s="75">
        <v>1.2</v>
      </c>
      <c r="D53" s="109">
        <f t="shared" si="0"/>
        <v>163.119</v>
      </c>
      <c r="E53" s="110">
        <f t="shared" si="1"/>
        <v>0.027092429065743943</v>
      </c>
      <c r="F53" s="18" t="s">
        <v>265</v>
      </c>
      <c r="G53" s="201">
        <f>(VALUE(LEFT(F53,3))*VALUE(RIGHT(F53,3))*25*1.1*3.6)/1000000</f>
        <v>4.95</v>
      </c>
    </row>
  </sheetData>
  <mergeCells count="14">
    <mergeCell ref="I1:K1"/>
    <mergeCell ref="B1:H1"/>
    <mergeCell ref="F22:F26"/>
    <mergeCell ref="F27:F31"/>
    <mergeCell ref="P9:P10"/>
    <mergeCell ref="A39:A43"/>
    <mergeCell ref="A44:A48"/>
    <mergeCell ref="A49:A53"/>
    <mergeCell ref="A37:D37"/>
    <mergeCell ref="F32:F36"/>
    <mergeCell ref="Q9:Q10"/>
    <mergeCell ref="R9:R10"/>
    <mergeCell ref="S9:S10"/>
    <mergeCell ref="T9:U9"/>
  </mergeCells>
  <dataValidations count="4">
    <dataValidation allowBlank="1" showInputMessage="1" showErrorMessage="1" errorTitle="Chú ý!" error="Bạn không cần nhập số liệu cho cell này!" sqref="N11:O13"/>
    <dataValidation type="whole" allowBlank="1" showInputMessage="1" showErrorMessage="1" errorTitle="Chú ý!" error="Bạn không cần nhập số liệu cho cell này!" sqref="L11:L13 R11:R13">
      <formula1>0</formula1>
      <formula2>0</formula2>
    </dataValidation>
    <dataValidation type="whole" allowBlank="1" showInputMessage="1" showErrorMessage="1" errorTitle="Chú ý :" error="Không được nhập vào Cell này nhé !" sqref="L15 L17">
      <formula1>0</formula1>
      <formula2>0</formula2>
    </dataValidation>
    <dataValidation type="list" allowBlank="1" showInputMessage="1" showErrorMessage="1" sqref="L14">
      <formula1>$V$2:$V$60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N92"/>
  <sheetViews>
    <sheetView workbookViewId="0" topLeftCell="A70">
      <selection activeCell="G81" sqref="G81"/>
    </sheetView>
  </sheetViews>
  <sheetFormatPr defaultColWidth="9.140625" defaultRowHeight="12.75"/>
  <cols>
    <col min="1" max="1" width="14.421875" style="52" customWidth="1"/>
    <col min="2" max="3" width="5.421875" style="52" customWidth="1"/>
    <col min="4" max="5" width="5.8515625" style="52" customWidth="1"/>
    <col min="6" max="6" width="7.140625" style="52" customWidth="1"/>
    <col min="7" max="7" width="6.8515625" style="52" customWidth="1"/>
    <col min="8" max="8" width="6.421875" style="52" bestFit="1" customWidth="1"/>
    <col min="9" max="9" width="6.28125" style="52" customWidth="1"/>
    <col min="10" max="10" width="10.57421875" style="52" customWidth="1"/>
    <col min="11" max="11" width="8.7109375" style="52" customWidth="1"/>
    <col min="12" max="12" width="14.57421875" style="52" customWidth="1"/>
    <col min="13" max="16384" width="9.140625" style="52" customWidth="1"/>
  </cols>
  <sheetData>
    <row r="4" spans="1:13" ht="19.5">
      <c r="A4" s="169" t="s">
        <v>209</v>
      </c>
      <c r="H4" s="52" t="s">
        <v>149</v>
      </c>
      <c r="I4" s="56">
        <v>18</v>
      </c>
      <c r="J4" s="56">
        <v>25</v>
      </c>
      <c r="L4" s="52" t="s">
        <v>230</v>
      </c>
      <c r="M4" s="52">
        <f>(D10+D11)/(E10*2)</f>
        <v>0.38095238095238093</v>
      </c>
    </row>
    <row r="5" spans="1:13" ht="19.5">
      <c r="A5" s="312" t="s">
        <v>218</v>
      </c>
      <c r="B5" s="312"/>
      <c r="C5" s="312"/>
      <c r="D5" s="312"/>
      <c r="E5" s="312"/>
      <c r="F5" s="312"/>
      <c r="G5" s="316" t="s">
        <v>220</v>
      </c>
      <c r="H5" s="317"/>
      <c r="I5" s="64">
        <v>3.88</v>
      </c>
      <c r="J5" s="17" t="s">
        <v>221</v>
      </c>
      <c r="K5" s="64">
        <v>0.4</v>
      </c>
      <c r="L5" s="17"/>
      <c r="M5" s="17"/>
    </row>
    <row r="6" spans="1:13" s="170" customFormat="1" ht="19.5">
      <c r="A6" s="72" t="s">
        <v>216</v>
      </c>
      <c r="B6" s="62" t="s">
        <v>233</v>
      </c>
      <c r="C6" s="62"/>
      <c r="D6" s="62" t="s">
        <v>234</v>
      </c>
      <c r="E6" s="62" t="s">
        <v>235</v>
      </c>
      <c r="F6" s="62" t="s">
        <v>217</v>
      </c>
      <c r="G6" s="313"/>
      <c r="H6" s="313"/>
      <c r="I6" s="62" t="s">
        <v>233</v>
      </c>
      <c r="J6" s="62" t="s">
        <v>112</v>
      </c>
      <c r="K6" s="72" t="s">
        <v>236</v>
      </c>
      <c r="L6" s="72" t="s">
        <v>222</v>
      </c>
      <c r="M6" s="62" t="s">
        <v>175</v>
      </c>
    </row>
    <row r="7" spans="1:13" ht="16.5">
      <c r="A7" s="17" t="s">
        <v>210</v>
      </c>
      <c r="B7" s="64">
        <v>3.4</v>
      </c>
      <c r="C7" s="64"/>
      <c r="D7" s="64">
        <v>1.5</v>
      </c>
      <c r="E7" s="64">
        <v>4.2</v>
      </c>
      <c r="F7" s="174">
        <f aca="true" t="shared" si="0" ref="F7:F12">D7/(2*E7)</f>
        <v>0.17857142857142858</v>
      </c>
      <c r="G7" s="64"/>
      <c r="H7" s="64"/>
      <c r="I7" s="17">
        <f>0</f>
        <v>0</v>
      </c>
      <c r="J7" s="17">
        <v>0</v>
      </c>
      <c r="K7" s="171">
        <f aca="true" t="shared" si="1" ref="K7:K12">I7+J7</f>
        <v>0</v>
      </c>
      <c r="L7" s="17" t="s">
        <v>223</v>
      </c>
      <c r="M7" s="61">
        <f>((B7*D7)*E7/4)*2+(0.07*0.8*25*4.2)</f>
        <v>16.59</v>
      </c>
    </row>
    <row r="8" spans="1:13" ht="16.5">
      <c r="A8" s="17" t="s">
        <v>211</v>
      </c>
      <c r="B8" s="64">
        <v>3.4</v>
      </c>
      <c r="C8" s="64"/>
      <c r="D8" s="64">
        <v>3.5</v>
      </c>
      <c r="E8" s="64">
        <v>4.2</v>
      </c>
      <c r="F8" s="174">
        <f t="shared" si="0"/>
        <v>0.41666666666666663</v>
      </c>
      <c r="G8" s="64"/>
      <c r="H8" s="64"/>
      <c r="I8" s="61">
        <f>(5*B8*D8)/16*2</f>
        <v>7.4375</v>
      </c>
      <c r="J8" s="61">
        <f>0.1*$I$4*($I$5-$K$5)</f>
        <v>6.264</v>
      </c>
      <c r="K8" s="171">
        <f t="shared" si="1"/>
        <v>13.7015</v>
      </c>
      <c r="L8" s="17" t="s">
        <v>224</v>
      </c>
      <c r="M8" s="61">
        <f>(B7*D7*E7/2)+(2*0.1*$I$4*(($I$5-H8)/2)*2.1)+(((1-(2*(F8*F8)+F8^3))*B8*D8*E8/2))</f>
        <v>39.88159097222223</v>
      </c>
    </row>
    <row r="9" spans="1:13" ht="16.5">
      <c r="A9" s="17" t="s">
        <v>212</v>
      </c>
      <c r="B9" s="64">
        <v>3.4</v>
      </c>
      <c r="C9" s="64"/>
      <c r="D9" s="64">
        <v>3.5</v>
      </c>
      <c r="E9" s="64">
        <v>4.2</v>
      </c>
      <c r="F9" s="174">
        <f t="shared" si="0"/>
        <v>0.41666666666666663</v>
      </c>
      <c r="G9" s="64"/>
      <c r="H9" s="64"/>
      <c r="I9" s="61">
        <f>(5*B9*D9)/16*2</f>
        <v>7.4375</v>
      </c>
      <c r="J9" s="61">
        <f>0.1*$I$4*($I$5-$K$5)</f>
        <v>6.264</v>
      </c>
      <c r="K9" s="171">
        <f t="shared" si="1"/>
        <v>13.7015</v>
      </c>
      <c r="L9" s="17" t="s">
        <v>225</v>
      </c>
      <c r="M9" s="61">
        <f>((1-2*F9*F9+F9*F9*F9)*B9*D9*E9)</f>
        <v>36.241284722222225</v>
      </c>
    </row>
    <row r="10" spans="1:13" ht="16.5">
      <c r="A10" s="17" t="s">
        <v>213</v>
      </c>
      <c r="B10" s="64">
        <v>3.4</v>
      </c>
      <c r="C10" s="64"/>
      <c r="D10" s="64">
        <v>2</v>
      </c>
      <c r="E10" s="64">
        <v>4.2</v>
      </c>
      <c r="F10" s="174">
        <f t="shared" si="0"/>
        <v>0.23809523809523808</v>
      </c>
      <c r="G10" s="64"/>
      <c r="H10" s="64"/>
      <c r="I10" s="17">
        <f>(5*B10*3.2)/16</f>
        <v>3.4000000000000004</v>
      </c>
      <c r="J10" s="172">
        <v>0</v>
      </c>
      <c r="K10" s="171">
        <f t="shared" si="1"/>
        <v>3.4000000000000004</v>
      </c>
      <c r="L10" s="17" t="s">
        <v>226</v>
      </c>
      <c r="M10" s="61">
        <f>((1-2*F9*F9+F9*F9*F9)*B9*D9*E9/2)+(B9*D9*E9/4)+((1-2*M4^2+M4^3)*B10*3.2*E10/4)+(G10*H10*J4*E10)+(0.1*I4*((I5-K5)/2)*E10)</f>
        <v>52.5098156037415</v>
      </c>
    </row>
    <row r="11" spans="1:13" ht="16.5">
      <c r="A11" s="17" t="s">
        <v>214</v>
      </c>
      <c r="B11" s="64">
        <v>3.4</v>
      </c>
      <c r="C11" s="64"/>
      <c r="D11" s="64">
        <v>1.2</v>
      </c>
      <c r="E11" s="64">
        <v>4.2</v>
      </c>
      <c r="F11" s="174">
        <f t="shared" si="0"/>
        <v>0.14285714285714285</v>
      </c>
      <c r="G11" s="64"/>
      <c r="H11" s="64"/>
      <c r="I11" s="17">
        <f>(5*B11*(D11+D10))/16</f>
        <v>3.4000000000000004</v>
      </c>
      <c r="J11" s="61">
        <f>0.2*$I$4*($I$5-$K$5)</f>
        <v>12.528</v>
      </c>
      <c r="K11" s="171">
        <f t="shared" si="1"/>
        <v>15.928</v>
      </c>
      <c r="L11" s="17" t="s">
        <v>227</v>
      </c>
      <c r="M11" s="61">
        <f>B10*D10*E10/4+G11*H11*1.1*J4*E10/2+0.07*25*2.1</f>
        <v>10.815000000000001</v>
      </c>
    </row>
    <row r="12" spans="1:13" ht="16.5">
      <c r="A12" s="17" t="s">
        <v>215</v>
      </c>
      <c r="B12" s="64">
        <v>3.4</v>
      </c>
      <c r="C12" s="64"/>
      <c r="D12" s="64">
        <v>1.2</v>
      </c>
      <c r="E12" s="64">
        <v>4.2</v>
      </c>
      <c r="F12" s="174">
        <f t="shared" si="0"/>
        <v>0.14285714285714285</v>
      </c>
      <c r="G12" s="64"/>
      <c r="H12" s="64"/>
      <c r="I12" s="17">
        <v>0</v>
      </c>
      <c r="J12" s="61">
        <f>0.2*$I$4*($I$5-$K$5)</f>
        <v>12.528</v>
      </c>
      <c r="K12" s="171">
        <f t="shared" si="1"/>
        <v>12.528</v>
      </c>
      <c r="L12" s="17" t="s">
        <v>228</v>
      </c>
      <c r="M12" s="61">
        <f>(1-2*M4*M4+M4*M4*M4)*B11*3.2*E11/4+B12*D12*E12/4+G12*H12*J4*E12/2</f>
        <v>13.023773242630385</v>
      </c>
    </row>
    <row r="13" spans="1:13" ht="16.5">
      <c r="A13" s="17"/>
      <c r="B13" s="64"/>
      <c r="C13" s="64"/>
      <c r="D13" s="64"/>
      <c r="E13" s="64"/>
      <c r="F13" s="17"/>
      <c r="G13" s="64"/>
      <c r="H13" s="64"/>
      <c r="I13" s="17"/>
      <c r="J13" s="61"/>
      <c r="K13" s="171"/>
      <c r="L13" s="17" t="s">
        <v>229</v>
      </c>
      <c r="M13" s="61">
        <f>(B12*D12*E12/4)+(G12*H12*1.1*J4*E12/2)+(0.1*0.3*18+0.04*0.25*10.25)*2.1</f>
        <v>5.633250000000001</v>
      </c>
    </row>
    <row r="14" spans="1:13" ht="19.5">
      <c r="A14" s="312" t="s">
        <v>231</v>
      </c>
      <c r="B14" s="312"/>
      <c r="C14" s="312"/>
      <c r="D14" s="312"/>
      <c r="E14" s="312"/>
      <c r="F14" s="312"/>
      <c r="G14" s="17"/>
      <c r="H14" s="313" t="s">
        <v>232</v>
      </c>
      <c r="I14" s="313"/>
      <c r="J14" s="17"/>
      <c r="K14" s="17"/>
      <c r="L14" s="17"/>
      <c r="M14" s="17"/>
    </row>
    <row r="15" spans="1:13" s="170" customFormat="1" ht="19.5">
      <c r="A15" s="72" t="s">
        <v>216</v>
      </c>
      <c r="B15" s="62" t="s">
        <v>237</v>
      </c>
      <c r="C15" s="62" t="s">
        <v>237</v>
      </c>
      <c r="D15" s="62" t="s">
        <v>234</v>
      </c>
      <c r="E15" s="62" t="s">
        <v>235</v>
      </c>
      <c r="F15" s="62" t="s">
        <v>217</v>
      </c>
      <c r="G15" s="62" t="s">
        <v>238</v>
      </c>
      <c r="H15" s="62"/>
      <c r="I15" s="62"/>
      <c r="J15" s="62"/>
      <c r="K15" s="62"/>
      <c r="L15" s="72" t="s">
        <v>222</v>
      </c>
      <c r="M15" s="62" t="s">
        <v>175</v>
      </c>
    </row>
    <row r="16" spans="1:14" ht="16.5">
      <c r="A16" s="17" t="s">
        <v>210</v>
      </c>
      <c r="B16" s="64">
        <v>3.6</v>
      </c>
      <c r="C16" s="64">
        <v>3.6</v>
      </c>
      <c r="D16" s="64">
        <v>1.5</v>
      </c>
      <c r="E16" s="64">
        <v>4.2</v>
      </c>
      <c r="F16" s="174">
        <f aca="true" t="shared" si="2" ref="F16:F21">D16/(2*E16)</f>
        <v>0.17857142857142858</v>
      </c>
      <c r="G16" s="17">
        <f>0</f>
        <v>0</v>
      </c>
      <c r="H16" s="17">
        <v>1.2</v>
      </c>
      <c r="I16" s="17">
        <v>1.2</v>
      </c>
      <c r="J16" s="17"/>
      <c r="K16" s="17"/>
      <c r="L16" s="17" t="s">
        <v>223</v>
      </c>
      <c r="M16" s="61">
        <f>B16*D16*E16/2</f>
        <v>11.340000000000002</v>
      </c>
      <c r="N16" s="53"/>
    </row>
    <row r="17" spans="1:14" ht="16.5">
      <c r="A17" s="17" t="s">
        <v>211</v>
      </c>
      <c r="B17" s="64">
        <v>5.2</v>
      </c>
      <c r="C17" s="64">
        <v>2.4</v>
      </c>
      <c r="D17" s="64">
        <v>3.5</v>
      </c>
      <c r="E17" s="64">
        <v>4.2</v>
      </c>
      <c r="F17" s="174">
        <f t="shared" si="2"/>
        <v>0.41666666666666663</v>
      </c>
      <c r="G17" s="61">
        <f>5*B17*D17/16+5*C17*D17/16</f>
        <v>8.3125</v>
      </c>
      <c r="H17" s="17">
        <v>1.68</v>
      </c>
      <c r="I17" s="17">
        <v>1.2</v>
      </c>
      <c r="J17" s="17"/>
      <c r="K17" s="17"/>
      <c r="L17" s="17" t="s">
        <v>224</v>
      </c>
      <c r="M17" s="61">
        <f>M16+(1-2*F17*F17+F17^3)*B17*D17*E17/4+(1-2*F17*F17+F17^3)*C17*D17*E17/4</f>
        <v>31.592482638888896</v>
      </c>
      <c r="N17" s="53">
        <f>M17/2</f>
        <v>15.796241319444448</v>
      </c>
    </row>
    <row r="18" spans="1:14" ht="16.5">
      <c r="A18" s="17" t="s">
        <v>212</v>
      </c>
      <c r="B18" s="64">
        <v>5.2</v>
      </c>
      <c r="C18" s="64">
        <v>2.4</v>
      </c>
      <c r="D18" s="64">
        <v>3.5</v>
      </c>
      <c r="E18" s="64">
        <v>4.2</v>
      </c>
      <c r="F18" s="174">
        <f t="shared" si="2"/>
        <v>0.41666666666666663</v>
      </c>
      <c r="G18" s="61">
        <f>5*B18*D18/16+5*C18*D18/16</f>
        <v>8.3125</v>
      </c>
      <c r="H18" s="17">
        <v>1.68</v>
      </c>
      <c r="I18" s="17">
        <v>1.2</v>
      </c>
      <c r="J18" s="17"/>
      <c r="K18" s="17"/>
      <c r="L18" s="17" t="s">
        <v>225</v>
      </c>
      <c r="M18" s="61">
        <f>(1-2*F18*F18+F18^3)*D18*E18*(C18+B18)/2</f>
        <v>40.50496527777778</v>
      </c>
      <c r="N18" s="53">
        <f>M18/2</f>
        <v>20.25248263888889</v>
      </c>
    </row>
    <row r="19" spans="1:14" ht="16.5">
      <c r="A19" s="17" t="s">
        <v>213</v>
      </c>
      <c r="B19" s="64">
        <v>3.6</v>
      </c>
      <c r="C19" s="64">
        <v>3.6</v>
      </c>
      <c r="D19" s="64">
        <v>2</v>
      </c>
      <c r="E19" s="64">
        <v>4.2</v>
      </c>
      <c r="F19" s="174">
        <f t="shared" si="2"/>
        <v>0.23809523809523808</v>
      </c>
      <c r="G19" s="17">
        <f>5*B19*(D19+D20)/16</f>
        <v>3.6</v>
      </c>
      <c r="H19" s="17"/>
      <c r="I19" s="17"/>
      <c r="J19" s="17"/>
      <c r="K19" s="17"/>
      <c r="L19" s="17" t="s">
        <v>226</v>
      </c>
      <c r="M19" s="61">
        <f>M18/2+B19*E19/2+(1-2*M4*M4+M4^3)*3.2*4.2*3.6/4</f>
        <v>37.0663601899093</v>
      </c>
      <c r="N19" s="53">
        <f>M19/2</f>
        <v>18.53318009495465</v>
      </c>
    </row>
    <row r="20" spans="1:14" ht="16.5">
      <c r="A20" s="17" t="s">
        <v>214</v>
      </c>
      <c r="B20" s="64">
        <v>3.6</v>
      </c>
      <c r="C20" s="64">
        <v>3.6</v>
      </c>
      <c r="D20" s="64">
        <v>1.2</v>
      </c>
      <c r="E20" s="64">
        <v>4.2</v>
      </c>
      <c r="F20" s="174">
        <f t="shared" si="2"/>
        <v>0.14285714285714285</v>
      </c>
      <c r="G20" s="17">
        <v>3.6</v>
      </c>
      <c r="H20" s="17"/>
      <c r="I20" s="17"/>
      <c r="J20" s="17"/>
      <c r="K20" s="17"/>
      <c r="L20" s="17" t="s">
        <v>227</v>
      </c>
      <c r="M20" s="61">
        <f>B19*D19*E19/4</f>
        <v>7.5600000000000005</v>
      </c>
      <c r="N20" s="53">
        <f>M20/2</f>
        <v>3.7800000000000002</v>
      </c>
    </row>
    <row r="21" spans="1:14" ht="16.5">
      <c r="A21" s="17" t="s">
        <v>215</v>
      </c>
      <c r="B21" s="64">
        <v>3.6</v>
      </c>
      <c r="C21" s="64">
        <v>3.6</v>
      </c>
      <c r="D21" s="64">
        <v>1.2</v>
      </c>
      <c r="E21" s="64">
        <v>4.2</v>
      </c>
      <c r="F21" s="174">
        <f t="shared" si="2"/>
        <v>0.14285714285714285</v>
      </c>
      <c r="G21" s="17">
        <v>0</v>
      </c>
      <c r="H21" s="17"/>
      <c r="I21" s="17"/>
      <c r="J21" s="17"/>
      <c r="K21" s="17"/>
      <c r="L21" s="17" t="s">
        <v>228</v>
      </c>
      <c r="M21" s="61">
        <f>(1-2*M4*M4+M4^3)*3.2*E20*B21/4+B21*D21*E21/4</f>
        <v>13.78987755102041</v>
      </c>
      <c r="N21" s="53">
        <f>M21/2</f>
        <v>6.894938775510205</v>
      </c>
    </row>
    <row r="22" spans="1:13" ht="16.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 t="s">
        <v>229</v>
      </c>
      <c r="M22" s="61">
        <f>B21*D21*E21/4</f>
        <v>4.5360000000000005</v>
      </c>
    </row>
    <row r="23" spans="1:13" ht="19.5">
      <c r="A23" s="169" t="s">
        <v>239</v>
      </c>
      <c r="H23" s="52" t="s">
        <v>149</v>
      </c>
      <c r="I23" s="56">
        <v>18</v>
      </c>
      <c r="J23" s="56">
        <v>25</v>
      </c>
      <c r="L23" s="52" t="s">
        <v>230</v>
      </c>
      <c r="M23" s="52">
        <f>(D29+D30)/(E29*2)</f>
        <v>0.38095238095238093</v>
      </c>
    </row>
    <row r="24" spans="1:13" ht="19.5">
      <c r="A24" s="312" t="s">
        <v>218</v>
      </c>
      <c r="B24" s="312"/>
      <c r="C24" s="312"/>
      <c r="D24" s="312"/>
      <c r="E24" s="312"/>
      <c r="F24" s="312"/>
      <c r="G24" s="316" t="s">
        <v>220</v>
      </c>
      <c r="H24" s="317"/>
      <c r="I24" s="64">
        <v>3.9</v>
      </c>
      <c r="J24" s="17" t="s">
        <v>221</v>
      </c>
      <c r="K24" s="64">
        <v>0.4</v>
      </c>
      <c r="L24" s="17"/>
      <c r="M24" s="17"/>
    </row>
    <row r="25" spans="1:13" ht="19.5">
      <c r="A25" s="72" t="s">
        <v>216</v>
      </c>
      <c r="B25" s="62" t="s">
        <v>233</v>
      </c>
      <c r="C25" s="62"/>
      <c r="D25" s="62" t="s">
        <v>234</v>
      </c>
      <c r="E25" s="62" t="s">
        <v>235</v>
      </c>
      <c r="F25" s="62" t="s">
        <v>217</v>
      </c>
      <c r="G25" s="313" t="s">
        <v>219</v>
      </c>
      <c r="H25" s="313"/>
      <c r="I25" s="62" t="s">
        <v>233</v>
      </c>
      <c r="J25" s="62" t="s">
        <v>112</v>
      </c>
      <c r="K25" s="72" t="s">
        <v>236</v>
      </c>
      <c r="L25" s="72" t="s">
        <v>222</v>
      </c>
      <c r="M25" s="62" t="s">
        <v>175</v>
      </c>
    </row>
    <row r="26" spans="1:13" ht="16.5">
      <c r="A26" s="17" t="s">
        <v>210</v>
      </c>
      <c r="B26" s="64">
        <v>3.4</v>
      </c>
      <c r="C26" s="64"/>
      <c r="D26" s="64">
        <v>1.5</v>
      </c>
      <c r="E26" s="64">
        <v>4.2</v>
      </c>
      <c r="F26" s="174">
        <f aca="true" t="shared" si="3" ref="F26:F31">D26/(2*E26)</f>
        <v>0.17857142857142858</v>
      </c>
      <c r="G26" s="64"/>
      <c r="H26" s="64"/>
      <c r="I26" s="17">
        <f>0</f>
        <v>0</v>
      </c>
      <c r="J26" s="17">
        <v>0</v>
      </c>
      <c r="K26" s="171">
        <f aca="true" t="shared" si="4" ref="K26:K31">I26+J26</f>
        <v>0</v>
      </c>
      <c r="L26" s="17" t="s">
        <v>223</v>
      </c>
      <c r="M26" s="61">
        <f>((B26*D26)*E26/4)*2+(0.07*25*4.2)+(G26*H26*25*4.2)</f>
        <v>18.060000000000002</v>
      </c>
    </row>
    <row r="27" spans="1:13" ht="16.5">
      <c r="A27" s="17" t="s">
        <v>211</v>
      </c>
      <c r="B27" s="64">
        <v>3.4</v>
      </c>
      <c r="C27" s="64"/>
      <c r="D27" s="64">
        <v>3.5</v>
      </c>
      <c r="E27" s="64">
        <v>4.2</v>
      </c>
      <c r="F27" s="174">
        <f t="shared" si="3"/>
        <v>0.41666666666666663</v>
      </c>
      <c r="G27" s="64"/>
      <c r="H27" s="64"/>
      <c r="I27" s="61">
        <f>(5*B27*D27)/16*2</f>
        <v>7.4375</v>
      </c>
      <c r="J27" s="61">
        <f>0.1*$I$4*($I$5-$K$5)/2</f>
        <v>3.132</v>
      </c>
      <c r="K27" s="171">
        <f t="shared" si="4"/>
        <v>10.5695</v>
      </c>
      <c r="L27" s="17" t="s">
        <v>224</v>
      </c>
      <c r="M27" s="61">
        <f>(B26*D26*E26/2)+(2*0.1*$I$4*((I24-H27)/2)*2.1)+(((1-(2*(F27*F27)+F27^3))*B27*D27*E27/2)+(G27*H27*$J$4*E27))</f>
        <v>39.95719097222222</v>
      </c>
    </row>
    <row r="28" spans="1:13" ht="16.5">
      <c r="A28" s="17" t="s">
        <v>212</v>
      </c>
      <c r="B28" s="64">
        <v>3.4</v>
      </c>
      <c r="C28" s="64"/>
      <c r="D28" s="64">
        <v>3.5</v>
      </c>
      <c r="E28" s="64">
        <v>4.2</v>
      </c>
      <c r="F28" s="174">
        <f t="shared" si="3"/>
        <v>0.41666666666666663</v>
      </c>
      <c r="G28" s="64"/>
      <c r="H28" s="64"/>
      <c r="I28" s="61">
        <f>((5*B28*D28)/16)*2</f>
        <v>7.4375</v>
      </c>
      <c r="J28" s="61">
        <f>0.1*$I$4*($I$5-$K$5)/2</f>
        <v>3.132</v>
      </c>
      <c r="K28" s="171">
        <f t="shared" si="4"/>
        <v>10.5695</v>
      </c>
      <c r="L28" s="17" t="s">
        <v>225</v>
      </c>
      <c r="M28" s="61">
        <f>((1-2*F28*F28+F28*F28*F28)*B28*D28*E28)+(G28*H28*J23*(E28/2))</f>
        <v>36.241284722222225</v>
      </c>
    </row>
    <row r="29" spans="1:13" ht="16.5">
      <c r="A29" s="17" t="s">
        <v>213</v>
      </c>
      <c r="B29" s="64">
        <v>3.4</v>
      </c>
      <c r="C29" s="64"/>
      <c r="D29" s="64">
        <v>2</v>
      </c>
      <c r="E29" s="64">
        <v>4.2</v>
      </c>
      <c r="F29" s="174">
        <f t="shared" si="3"/>
        <v>0.23809523809523808</v>
      </c>
      <c r="G29" s="64"/>
      <c r="H29" s="64"/>
      <c r="I29" s="17">
        <f>5*B29*3.2/16</f>
        <v>3.4000000000000004</v>
      </c>
      <c r="J29" s="172">
        <v>0</v>
      </c>
      <c r="K29" s="171">
        <f t="shared" si="4"/>
        <v>3.4000000000000004</v>
      </c>
      <c r="L29" s="17" t="s">
        <v>226</v>
      </c>
      <c r="M29" s="61">
        <f>((1-2*F28*F28+F28*F28*F28)*B28*D28*E28/2)+(B28*D28*E28/4)+((1-2*M23^2+M23^3)*B29*3.2*E29/4)+(G29*H29*J23*E29)+(0.1*I23*((I24-K24)/2)*E29)</f>
        <v>52.585415603741495</v>
      </c>
    </row>
    <row r="30" spans="1:13" ht="16.5">
      <c r="A30" s="17" t="s">
        <v>214</v>
      </c>
      <c r="B30" s="64">
        <v>3.4</v>
      </c>
      <c r="C30" s="64"/>
      <c r="D30" s="64">
        <v>1.2</v>
      </c>
      <c r="E30" s="64">
        <v>4.2</v>
      </c>
      <c r="F30" s="174">
        <f t="shared" si="3"/>
        <v>0.14285714285714285</v>
      </c>
      <c r="G30" s="64"/>
      <c r="H30" s="64"/>
      <c r="I30" s="17">
        <f>(5*B30*(D30+D29))/16</f>
        <v>3.4000000000000004</v>
      </c>
      <c r="J30" s="61">
        <f>0.2*$I$4*($I$5-$K$5)/2</f>
        <v>6.264</v>
      </c>
      <c r="K30" s="171">
        <f t="shared" si="4"/>
        <v>9.664000000000001</v>
      </c>
      <c r="L30" s="17" t="s">
        <v>227</v>
      </c>
      <c r="M30" s="61">
        <f>B29*D29*E29/4+G30*H30*1.1*J23*E29/2+0.07*1.1*25*2.1</f>
        <v>11.182500000000001</v>
      </c>
    </row>
    <row r="31" spans="1:13" ht="16.5">
      <c r="A31" s="17" t="s">
        <v>215</v>
      </c>
      <c r="B31" s="64">
        <v>3.4</v>
      </c>
      <c r="C31" s="64"/>
      <c r="D31" s="64">
        <v>1.2</v>
      </c>
      <c r="E31" s="64">
        <v>4.2</v>
      </c>
      <c r="F31" s="174">
        <f t="shared" si="3"/>
        <v>0.14285714285714285</v>
      </c>
      <c r="G31" s="64"/>
      <c r="H31" s="64"/>
      <c r="I31" s="17">
        <v>0</v>
      </c>
      <c r="J31" s="61">
        <f>0.2*$I$4*($I$5-$K$5)/2</f>
        <v>6.264</v>
      </c>
      <c r="K31" s="171">
        <f t="shared" si="4"/>
        <v>6.264</v>
      </c>
      <c r="L31" s="17" t="s">
        <v>228</v>
      </c>
      <c r="M31" s="61">
        <f>(1-2*M23*M23+M23*M23*M23)*B30*3.2*E30/4+B31*D31*E31/4+G31*H31*1.1*J23*E31/2</f>
        <v>13.023773242630385</v>
      </c>
    </row>
    <row r="32" spans="1:13" ht="16.5">
      <c r="A32" s="17"/>
      <c r="B32" s="64"/>
      <c r="C32" s="64"/>
      <c r="D32" s="64"/>
      <c r="E32" s="64"/>
      <c r="F32" s="17"/>
      <c r="G32" s="64"/>
      <c r="H32" s="64"/>
      <c r="I32" s="17"/>
      <c r="J32" s="61"/>
      <c r="K32" s="171"/>
      <c r="L32" s="17" t="s">
        <v>229</v>
      </c>
      <c r="M32" s="61">
        <f>(B31*D31*E31/4)+(G31*H31*1.1*J23*E31/2)+(0.1*0.3*18+0.04*0.25*10.25)*2.1</f>
        <v>5.633250000000001</v>
      </c>
    </row>
    <row r="33" spans="1:13" ht="19.5">
      <c r="A33" s="312" t="s">
        <v>231</v>
      </c>
      <c r="B33" s="312"/>
      <c r="C33" s="312"/>
      <c r="D33" s="312"/>
      <c r="E33" s="312"/>
      <c r="F33" s="312"/>
      <c r="G33" s="17"/>
      <c r="H33" s="313" t="s">
        <v>232</v>
      </c>
      <c r="I33" s="313"/>
      <c r="J33" s="17"/>
      <c r="K33" s="17"/>
      <c r="L33" s="17"/>
      <c r="M33" s="17"/>
    </row>
    <row r="34" spans="1:13" ht="19.5">
      <c r="A34" s="72" t="s">
        <v>216</v>
      </c>
      <c r="B34" s="62" t="s">
        <v>237</v>
      </c>
      <c r="C34" s="62" t="s">
        <v>237</v>
      </c>
      <c r="D34" s="62" t="s">
        <v>234</v>
      </c>
      <c r="E34" s="62" t="s">
        <v>235</v>
      </c>
      <c r="F34" s="62" t="s">
        <v>217</v>
      </c>
      <c r="G34" s="62" t="s">
        <v>238</v>
      </c>
      <c r="H34" s="62"/>
      <c r="I34" s="62"/>
      <c r="J34" s="62"/>
      <c r="K34" s="62"/>
      <c r="L34" s="72" t="s">
        <v>246</v>
      </c>
      <c r="M34" s="62"/>
    </row>
    <row r="35" spans="1:13" ht="16.5">
      <c r="A35" s="17" t="s">
        <v>210</v>
      </c>
      <c r="B35" s="64">
        <v>3.6</v>
      </c>
      <c r="C35" s="64">
        <v>3.6</v>
      </c>
      <c r="D35" s="64">
        <v>1.5</v>
      </c>
      <c r="E35" s="64">
        <v>4.2</v>
      </c>
      <c r="F35" s="174">
        <f aca="true" t="shared" si="5" ref="F35:F40">D35/(2*E35)</f>
        <v>0.17857142857142858</v>
      </c>
      <c r="G35" s="17">
        <f>0</f>
        <v>0</v>
      </c>
      <c r="H35" s="17">
        <v>1.2</v>
      </c>
      <c r="I35" s="17"/>
      <c r="J35" s="17"/>
      <c r="K35" s="17"/>
      <c r="L35" s="17" t="s">
        <v>243</v>
      </c>
      <c r="M35" s="61">
        <f>B35*D35*E35/2</f>
        <v>11.340000000000002</v>
      </c>
    </row>
    <row r="36" spans="1:14" ht="16.5">
      <c r="A36" s="17" t="s">
        <v>211</v>
      </c>
      <c r="B36" s="64">
        <v>2.4</v>
      </c>
      <c r="C36" s="64">
        <v>7.7</v>
      </c>
      <c r="D36" s="64">
        <v>3.5</v>
      </c>
      <c r="E36" s="64">
        <v>4.2</v>
      </c>
      <c r="F36" s="174">
        <f t="shared" si="5"/>
        <v>0.41666666666666663</v>
      </c>
      <c r="G36" s="61">
        <f>5*B36*D36/16+5*C36*D36/16</f>
        <v>11.046875</v>
      </c>
      <c r="H36" s="17">
        <v>1.2</v>
      </c>
      <c r="I36" s="17">
        <v>8.25</v>
      </c>
      <c r="J36" s="17"/>
      <c r="K36" s="17"/>
      <c r="L36" s="17" t="s">
        <v>5</v>
      </c>
      <c r="M36" s="61">
        <f>M35+(1-2*F36*F36+F36^3)*B36*D36*E36/4+(1-2*F36*F36+F36^3)*C36*D36*E36/4</f>
        <v>38.25448350694445</v>
      </c>
      <c r="N36" s="53">
        <f>M36/2</f>
        <v>19.127241753472227</v>
      </c>
    </row>
    <row r="37" spans="1:14" ht="16.5">
      <c r="A37" s="17" t="s">
        <v>212</v>
      </c>
      <c r="B37" s="64">
        <v>2.4</v>
      </c>
      <c r="C37" s="64">
        <v>7.7</v>
      </c>
      <c r="D37" s="64">
        <v>3.5</v>
      </c>
      <c r="E37" s="64">
        <v>4.2</v>
      </c>
      <c r="F37" s="174">
        <f t="shared" si="5"/>
        <v>0.41666666666666663</v>
      </c>
      <c r="G37" s="61">
        <f>5*B37*D37/16+5*C37*D37/16</f>
        <v>11.046875</v>
      </c>
      <c r="H37" s="17">
        <v>1.2</v>
      </c>
      <c r="I37" s="17">
        <v>1.2</v>
      </c>
      <c r="J37" s="17"/>
      <c r="K37" s="17"/>
      <c r="L37" s="17" t="s">
        <v>2</v>
      </c>
      <c r="M37" s="61">
        <f>(1-2*F37*F37+F37^3)*D37*E37*(C37+B37)/2</f>
        <v>53.82896701388889</v>
      </c>
      <c r="N37" s="53">
        <f>M37/2</f>
        <v>26.914483506944446</v>
      </c>
    </row>
    <row r="38" spans="1:14" ht="16.5">
      <c r="A38" s="17" t="s">
        <v>213</v>
      </c>
      <c r="B38" s="64">
        <v>3.6</v>
      </c>
      <c r="C38" s="64">
        <v>3.6</v>
      </c>
      <c r="D38" s="64">
        <v>2</v>
      </c>
      <c r="E38" s="64">
        <v>4.2</v>
      </c>
      <c r="F38" s="174">
        <f t="shared" si="5"/>
        <v>0.23809523809523808</v>
      </c>
      <c r="G38" s="17">
        <f>5*B38*(D38+D39)/16</f>
        <v>3.6</v>
      </c>
      <c r="H38" s="17"/>
      <c r="I38" s="17"/>
      <c r="J38" s="17"/>
      <c r="K38" s="17"/>
      <c r="L38" s="17" t="s">
        <v>3</v>
      </c>
      <c r="M38" s="61">
        <f>M37/2+B38*E38/2+(1-2*M23*M23+M23^3)*3.2*4.2*3.6/4</f>
        <v>43.728361057964854</v>
      </c>
      <c r="N38" s="53">
        <f>M38/2</f>
        <v>21.864180528982427</v>
      </c>
    </row>
    <row r="39" spans="1:14" ht="16.5">
      <c r="A39" s="17" t="s">
        <v>214</v>
      </c>
      <c r="B39" s="64">
        <v>3.6</v>
      </c>
      <c r="C39" s="64">
        <v>3.6</v>
      </c>
      <c r="D39" s="64">
        <v>1.2</v>
      </c>
      <c r="E39" s="64">
        <v>4.2</v>
      </c>
      <c r="F39" s="174">
        <f t="shared" si="5"/>
        <v>0.14285714285714285</v>
      </c>
      <c r="G39" s="17">
        <v>3.6</v>
      </c>
      <c r="H39" s="17"/>
      <c r="I39" s="17"/>
      <c r="J39" s="17"/>
      <c r="K39" s="17"/>
      <c r="L39" s="17" t="s">
        <v>4</v>
      </c>
      <c r="M39" s="61">
        <f>B38*D38*E38/4</f>
        <v>7.5600000000000005</v>
      </c>
      <c r="N39" s="53">
        <f>M39/2</f>
        <v>3.7800000000000002</v>
      </c>
    </row>
    <row r="40" spans="1:14" ht="16.5">
      <c r="A40" s="17" t="s">
        <v>215</v>
      </c>
      <c r="B40" s="64">
        <v>3.6</v>
      </c>
      <c r="C40" s="64">
        <v>3.6</v>
      </c>
      <c r="D40" s="64">
        <v>1.2</v>
      </c>
      <c r="E40" s="64">
        <v>4.2</v>
      </c>
      <c r="F40" s="174">
        <f t="shared" si="5"/>
        <v>0.14285714285714285</v>
      </c>
      <c r="G40" s="17">
        <v>0</v>
      </c>
      <c r="H40" s="17"/>
      <c r="I40" s="17"/>
      <c r="J40" s="17"/>
      <c r="K40" s="17"/>
      <c r="L40" s="17" t="s">
        <v>244</v>
      </c>
      <c r="M40" s="61">
        <f>(1-2*M23*M23+M23^3)*3.2*E39*B40/4+B40*D40*E40/4</f>
        <v>13.78987755102041</v>
      </c>
      <c r="N40" s="53">
        <f>M40/2</f>
        <v>6.894938775510205</v>
      </c>
    </row>
    <row r="41" spans="1:13" ht="16.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 t="s">
        <v>245</v>
      </c>
      <c r="M41" s="61">
        <f>B40*D40*E40/4</f>
        <v>4.5360000000000005</v>
      </c>
    </row>
    <row r="42" spans="1:13" ht="19.5">
      <c r="A42" s="169" t="s">
        <v>240</v>
      </c>
      <c r="H42" s="52" t="s">
        <v>149</v>
      </c>
      <c r="I42" s="56">
        <v>18</v>
      </c>
      <c r="J42" s="56">
        <v>25</v>
      </c>
      <c r="L42" s="52" t="s">
        <v>230</v>
      </c>
      <c r="M42" s="52">
        <f>(D48+D49)/(E48*2)</f>
        <v>0.38095238095238093</v>
      </c>
    </row>
    <row r="43" spans="1:13" ht="19.5">
      <c r="A43" s="312" t="s">
        <v>218</v>
      </c>
      <c r="B43" s="312"/>
      <c r="C43" s="312"/>
      <c r="D43" s="312"/>
      <c r="E43" s="312"/>
      <c r="F43" s="312"/>
      <c r="G43" s="316" t="s">
        <v>220</v>
      </c>
      <c r="H43" s="317"/>
      <c r="I43" s="64">
        <v>0</v>
      </c>
      <c r="J43" s="17" t="s">
        <v>221</v>
      </c>
      <c r="K43" s="64">
        <v>0.4</v>
      </c>
      <c r="L43" s="17"/>
      <c r="M43" s="17"/>
    </row>
    <row r="44" spans="1:13" ht="19.5" hidden="1">
      <c r="A44" s="72" t="s">
        <v>216</v>
      </c>
      <c r="B44" s="62" t="s">
        <v>233</v>
      </c>
      <c r="C44" s="62"/>
      <c r="D44" s="62" t="s">
        <v>234</v>
      </c>
      <c r="E44" s="62" t="s">
        <v>235</v>
      </c>
      <c r="F44" s="62" t="s">
        <v>217</v>
      </c>
      <c r="G44" s="321" t="s">
        <v>219</v>
      </c>
      <c r="H44" s="322"/>
      <c r="I44" s="62" t="s">
        <v>233</v>
      </c>
      <c r="J44" s="62" t="s">
        <v>112</v>
      </c>
      <c r="K44" s="72" t="s">
        <v>236</v>
      </c>
      <c r="L44" s="72" t="s">
        <v>222</v>
      </c>
      <c r="M44" s="62" t="s">
        <v>175</v>
      </c>
    </row>
    <row r="45" spans="1:13" ht="16.5" hidden="1">
      <c r="A45" s="17" t="s">
        <v>210</v>
      </c>
      <c r="B45" s="64">
        <v>0</v>
      </c>
      <c r="C45" s="64"/>
      <c r="D45" s="64">
        <v>1.5</v>
      </c>
      <c r="E45" s="64">
        <v>4.2</v>
      </c>
      <c r="F45" s="17">
        <f aca="true" t="shared" si="6" ref="F45:F50">D45/(2*E45)</f>
        <v>0.17857142857142858</v>
      </c>
      <c r="G45" s="64">
        <v>0.2</v>
      </c>
      <c r="H45" s="64">
        <v>0.3</v>
      </c>
      <c r="I45" s="173">
        <f>0</f>
        <v>0</v>
      </c>
      <c r="J45" s="17">
        <v>0</v>
      </c>
      <c r="K45" s="171">
        <f aca="true" t="shared" si="7" ref="K45:K50">I45+J45</f>
        <v>0</v>
      </c>
      <c r="L45" s="17" t="s">
        <v>241</v>
      </c>
      <c r="M45" s="53">
        <f>2.1*0.08*25*1.1*2.1+1*0.04*25*1.1*4.2</f>
        <v>14.322000000000003</v>
      </c>
    </row>
    <row r="46" spans="1:14" ht="16.5" hidden="1">
      <c r="A46" s="17" t="s">
        <v>211</v>
      </c>
      <c r="B46" s="64">
        <v>0</v>
      </c>
      <c r="C46" s="64"/>
      <c r="D46" s="64">
        <v>3.5</v>
      </c>
      <c r="E46" s="64">
        <v>4.2</v>
      </c>
      <c r="F46" s="17">
        <f t="shared" si="6"/>
        <v>0.41666666666666663</v>
      </c>
      <c r="G46" s="64">
        <v>0.25</v>
      </c>
      <c r="H46" s="64">
        <v>0.35</v>
      </c>
      <c r="I46" s="173">
        <f>(5*B46*D46)/16*2</f>
        <v>0</v>
      </c>
      <c r="J46" s="318">
        <v>2.97</v>
      </c>
      <c r="K46" s="65">
        <f>I46+$J$46</f>
        <v>2.97</v>
      </c>
      <c r="L46" s="17" t="s">
        <v>224</v>
      </c>
      <c r="M46" s="61">
        <f>(B45*D45*E45/2)+(2*0.1*$I$4*(I43-H46)*2.1)+(((1-(2*(F46*F46)+F46^3))*B46*D46*E46/2)+(G46*H46*$J$4*1.1*E46))</f>
        <v>7.46025</v>
      </c>
      <c r="N46" s="53">
        <f>M46/2</f>
        <v>3.730125</v>
      </c>
    </row>
    <row r="47" spans="1:14" ht="16.5" hidden="1">
      <c r="A47" s="17" t="s">
        <v>212</v>
      </c>
      <c r="B47" s="64">
        <v>0</v>
      </c>
      <c r="C47" s="64"/>
      <c r="D47" s="64">
        <v>3.5</v>
      </c>
      <c r="E47" s="64">
        <v>4.2</v>
      </c>
      <c r="F47" s="17">
        <f t="shared" si="6"/>
        <v>0.41666666666666663</v>
      </c>
      <c r="G47" s="64">
        <v>0.25</v>
      </c>
      <c r="H47" s="64">
        <v>0.35</v>
      </c>
      <c r="I47" s="173">
        <f>(5*B47*D47)/16*2</f>
        <v>0</v>
      </c>
      <c r="J47" s="319"/>
      <c r="K47" s="65">
        <f>I47+$J$46</f>
        <v>2.97</v>
      </c>
      <c r="L47" s="17" t="s">
        <v>225</v>
      </c>
      <c r="M47" s="61">
        <f>((1-2*F47*F47+F47*F47*F47)*B47*D47*E47)+(G47*H47*1.1*J42*(E47/2))</f>
        <v>5.0531250000000005</v>
      </c>
      <c r="N47" s="53">
        <f>M47/2</f>
        <v>2.5265625000000003</v>
      </c>
    </row>
    <row r="48" spans="1:14" ht="16.5" hidden="1">
      <c r="A48" s="17" t="s">
        <v>213</v>
      </c>
      <c r="B48" s="64">
        <v>0</v>
      </c>
      <c r="C48" s="64"/>
      <c r="D48" s="64">
        <v>2</v>
      </c>
      <c r="E48" s="64">
        <v>4.2</v>
      </c>
      <c r="F48" s="17">
        <f t="shared" si="6"/>
        <v>0.23809523809523808</v>
      </c>
      <c r="G48" s="64">
        <v>0.25</v>
      </c>
      <c r="H48" s="64">
        <v>0.35</v>
      </c>
      <c r="I48" s="173">
        <v>0</v>
      </c>
      <c r="J48" s="320"/>
      <c r="K48" s="65">
        <f>I48+$J$46</f>
        <v>2.97</v>
      </c>
      <c r="L48" s="17" t="s">
        <v>226</v>
      </c>
      <c r="M48" s="61">
        <f>((1-2*F47*F47+F47*F47*F47)*B47*D47*E47/2)+(B47*D47*E47/4)+((1-2*M43*M43+M43+M43+M43)*B48*3.2*E48/4)+(G48*H48*J42*1.1*E48)+(0.1*I42*(I43-K43)*E48)</f>
        <v>7.08225</v>
      </c>
      <c r="N48" s="53">
        <f>M48/2</f>
        <v>3.541125</v>
      </c>
    </row>
    <row r="49" spans="1:14" ht="16.5" hidden="1">
      <c r="A49" s="17" t="s">
        <v>214</v>
      </c>
      <c r="B49" s="64">
        <v>0</v>
      </c>
      <c r="C49" s="64"/>
      <c r="D49" s="64">
        <v>1.2</v>
      </c>
      <c r="E49" s="64">
        <v>4.2</v>
      </c>
      <c r="F49" s="17">
        <f t="shared" si="6"/>
        <v>0.14285714285714285</v>
      </c>
      <c r="G49" s="64">
        <v>0.2</v>
      </c>
      <c r="H49" s="64">
        <v>0.3</v>
      </c>
      <c r="I49" s="173">
        <f>(5*B49*(D49+D48))/16</f>
        <v>0</v>
      </c>
      <c r="J49" s="61">
        <v>0</v>
      </c>
      <c r="K49" s="171">
        <f t="shared" si="7"/>
        <v>0</v>
      </c>
      <c r="L49" s="17" t="s">
        <v>227</v>
      </c>
      <c r="M49" s="61">
        <f>B48*D48*E48/4+G49*H49*1.1*J42*E48/2+0.07*1.1*25*2.1</f>
        <v>7.5075</v>
      </c>
      <c r="N49" s="53">
        <f>M49/2</f>
        <v>3.75375</v>
      </c>
    </row>
    <row r="50" spans="1:14" ht="16.5" hidden="1">
      <c r="A50" s="17" t="s">
        <v>215</v>
      </c>
      <c r="B50" s="64">
        <v>0</v>
      </c>
      <c r="C50" s="64"/>
      <c r="D50" s="64">
        <v>1.2</v>
      </c>
      <c r="E50" s="64">
        <v>4.2</v>
      </c>
      <c r="F50" s="17">
        <f t="shared" si="6"/>
        <v>0.14285714285714285</v>
      </c>
      <c r="G50" s="64">
        <v>0.2</v>
      </c>
      <c r="H50" s="64">
        <v>0.3</v>
      </c>
      <c r="I50" s="173">
        <v>0</v>
      </c>
      <c r="J50" s="61">
        <v>0</v>
      </c>
      <c r="K50" s="171">
        <f t="shared" si="7"/>
        <v>0</v>
      </c>
      <c r="L50" s="17" t="s">
        <v>228</v>
      </c>
      <c r="M50" s="61">
        <f>(1-2*M42*M42+M42*M42*M42)*B49*3.2*E49/4+B50*D50*E50/4+G50*H50*1.1*J42*E50/2</f>
        <v>3.4650000000000003</v>
      </c>
      <c r="N50" s="53">
        <f>M50/2</f>
        <v>1.7325000000000002</v>
      </c>
    </row>
    <row r="51" spans="1:13" ht="16.5" hidden="1">
      <c r="A51" s="17"/>
      <c r="B51" s="64"/>
      <c r="C51" s="64"/>
      <c r="D51" s="64"/>
      <c r="E51" s="64"/>
      <c r="F51" s="17"/>
      <c r="G51" s="64"/>
      <c r="H51" s="64"/>
      <c r="I51" s="17"/>
      <c r="J51" s="61"/>
      <c r="K51" s="171"/>
      <c r="L51" s="17" t="s">
        <v>229</v>
      </c>
      <c r="M51" s="61">
        <f>(B50*D50*E50/4)+(G50*H50*1.1*J42*E50/2)+(0.1*0.3*18+0.04*0.25*10.25)*2.1</f>
        <v>4.81425</v>
      </c>
    </row>
    <row r="52" spans="1:13" ht="19.5">
      <c r="A52" s="312" t="s">
        <v>231</v>
      </c>
      <c r="B52" s="312"/>
      <c r="C52" s="312"/>
      <c r="D52" s="312"/>
      <c r="E52" s="312"/>
      <c r="F52" s="312"/>
      <c r="G52" s="17"/>
      <c r="H52" s="313" t="s">
        <v>232</v>
      </c>
      <c r="I52" s="313"/>
      <c r="J52" s="17"/>
      <c r="K52" s="17"/>
      <c r="L52" s="17"/>
      <c r="M52" s="17"/>
    </row>
    <row r="53" spans="1:13" ht="19.5">
      <c r="A53" s="72" t="s">
        <v>216</v>
      </c>
      <c r="B53" s="62" t="s">
        <v>237</v>
      </c>
      <c r="C53" s="62" t="s">
        <v>237</v>
      </c>
      <c r="D53" s="62" t="s">
        <v>234</v>
      </c>
      <c r="E53" s="62" t="s">
        <v>235</v>
      </c>
      <c r="F53" s="62" t="s">
        <v>217</v>
      </c>
      <c r="G53" s="62" t="s">
        <v>238</v>
      </c>
      <c r="H53" s="62"/>
      <c r="I53" s="62"/>
      <c r="J53" s="62"/>
      <c r="K53" s="62"/>
      <c r="L53" s="72" t="s">
        <v>222</v>
      </c>
      <c r="M53" s="62" t="s">
        <v>175</v>
      </c>
    </row>
    <row r="54" spans="1:13" ht="16.5">
      <c r="A54" s="17" t="s">
        <v>210</v>
      </c>
      <c r="B54" s="66">
        <v>0.75</v>
      </c>
      <c r="C54" s="66">
        <v>0.75</v>
      </c>
      <c r="D54" s="64">
        <v>2.1</v>
      </c>
      <c r="E54" s="64">
        <v>4.2</v>
      </c>
      <c r="F54" s="174">
        <f aca="true" t="shared" si="8" ref="F54:F59">D54/(2*E54)</f>
        <v>0.25</v>
      </c>
      <c r="G54" s="17"/>
      <c r="H54" s="17"/>
      <c r="I54" s="17"/>
      <c r="J54" s="17"/>
      <c r="K54" s="17"/>
      <c r="L54" s="17" t="s">
        <v>241</v>
      </c>
      <c r="M54" s="61">
        <f>B54*D54*E54/2</f>
        <v>3.3075000000000006</v>
      </c>
    </row>
    <row r="55" spans="1:14" ht="16.5">
      <c r="A55" s="17" t="s">
        <v>211</v>
      </c>
      <c r="B55" s="66">
        <v>0.75</v>
      </c>
      <c r="C55" s="66">
        <v>0.75</v>
      </c>
      <c r="D55" s="64">
        <v>3.5</v>
      </c>
      <c r="E55" s="64">
        <v>4.2</v>
      </c>
      <c r="F55" s="174">
        <f t="shared" si="8"/>
        <v>0.41666666666666663</v>
      </c>
      <c r="G55" s="17"/>
      <c r="H55" s="17"/>
      <c r="I55" s="17"/>
      <c r="J55" s="17"/>
      <c r="K55" s="17"/>
      <c r="L55" s="17" t="s">
        <v>224</v>
      </c>
      <c r="M55" s="61">
        <f>M54+(1-2*F55*F55+F55^3)*B55*D55*E55/4+(1-2*F55*F55+F55^3)*C55*D55*E55/4</f>
        <v>7.304700520833334</v>
      </c>
      <c r="N55" s="53">
        <f>M55/2</f>
        <v>3.652350260416667</v>
      </c>
    </row>
    <row r="56" spans="1:14" ht="16.5">
      <c r="A56" s="17" t="s">
        <v>212</v>
      </c>
      <c r="B56" s="66">
        <v>0.75</v>
      </c>
      <c r="C56" s="66">
        <v>0.75</v>
      </c>
      <c r="D56" s="64">
        <v>3.5</v>
      </c>
      <c r="E56" s="64">
        <v>4.2</v>
      </c>
      <c r="F56" s="174">
        <f t="shared" si="8"/>
        <v>0.41666666666666663</v>
      </c>
      <c r="G56" s="17"/>
      <c r="H56" s="17"/>
      <c r="I56" s="17"/>
      <c r="J56" s="17"/>
      <c r="K56" s="17"/>
      <c r="L56" s="17" t="s">
        <v>225</v>
      </c>
      <c r="M56" s="61">
        <f>(1-2*F56*F56+F56^3)*D56*E56*(C56+B56)/2</f>
        <v>7.994401041666668</v>
      </c>
      <c r="N56" s="53">
        <f>M56/2</f>
        <v>3.997200520833334</v>
      </c>
    </row>
    <row r="57" spans="1:14" ht="16.5">
      <c r="A57" s="17" t="s">
        <v>213</v>
      </c>
      <c r="B57" s="66">
        <v>0.75</v>
      </c>
      <c r="C57" s="66">
        <v>0.75</v>
      </c>
      <c r="D57" s="64">
        <v>2</v>
      </c>
      <c r="E57" s="64">
        <v>4.2</v>
      </c>
      <c r="F57" s="174">
        <f t="shared" si="8"/>
        <v>0.23809523809523808</v>
      </c>
      <c r="G57" s="17"/>
      <c r="H57" s="17"/>
      <c r="I57" s="17"/>
      <c r="J57" s="17"/>
      <c r="K57" s="17"/>
      <c r="L57" s="17" t="s">
        <v>226</v>
      </c>
      <c r="M57" s="61">
        <f>M56/2+B57*E57/2+(1-2*M42*M42+M42^3)*3.2*4.2*3.6/4</f>
        <v>14.826078071853745</v>
      </c>
      <c r="N57" s="53">
        <f>M57/2</f>
        <v>7.4130390359268725</v>
      </c>
    </row>
    <row r="58" spans="1:14" ht="16.5">
      <c r="A58" s="17" t="s">
        <v>214</v>
      </c>
      <c r="B58" s="66">
        <v>0.75</v>
      </c>
      <c r="C58" s="66">
        <v>0.75</v>
      </c>
      <c r="D58" s="64">
        <v>1.2</v>
      </c>
      <c r="E58" s="64">
        <v>4.2</v>
      </c>
      <c r="F58" s="174">
        <f t="shared" si="8"/>
        <v>0.14285714285714285</v>
      </c>
      <c r="G58" s="17"/>
      <c r="H58" s="17"/>
      <c r="I58" s="17"/>
      <c r="J58" s="17"/>
      <c r="K58" s="17"/>
      <c r="L58" s="17" t="s">
        <v>227</v>
      </c>
      <c r="M58" s="61">
        <f>B57*D57*E57/4</f>
        <v>1.5750000000000002</v>
      </c>
      <c r="N58" s="53">
        <f>M58/2</f>
        <v>0.7875000000000001</v>
      </c>
    </row>
    <row r="59" spans="1:14" ht="16.5">
      <c r="A59" s="17" t="s">
        <v>215</v>
      </c>
      <c r="B59" s="66">
        <v>0.75</v>
      </c>
      <c r="C59" s="66">
        <v>0.75</v>
      </c>
      <c r="D59" s="64">
        <v>1.8</v>
      </c>
      <c r="E59" s="64">
        <v>4.2</v>
      </c>
      <c r="F59" s="174">
        <f t="shared" si="8"/>
        <v>0.21428571428571427</v>
      </c>
      <c r="G59" s="17"/>
      <c r="H59" s="17"/>
      <c r="I59" s="17"/>
      <c r="J59" s="17"/>
      <c r="K59" s="17"/>
      <c r="L59" s="17" t="s">
        <v>228</v>
      </c>
      <c r="M59" s="61">
        <f>(1-2*M42*M42+M42^3)*3.2*E58*B59/4+B59*D59*E59/4</f>
        <v>3.3453911564625853</v>
      </c>
      <c r="N59" s="53">
        <f>M59/2</f>
        <v>1.6726955782312927</v>
      </c>
    </row>
    <row r="60" spans="1:13" ht="16.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 t="s">
        <v>242</v>
      </c>
      <c r="M60" s="61">
        <f>B59*D59*E59/4</f>
        <v>1.4175000000000002</v>
      </c>
    </row>
    <row r="61" spans="1:13" ht="16.5">
      <c r="A61" s="78"/>
      <c r="B61" s="314" t="s">
        <v>252</v>
      </c>
      <c r="C61" s="314"/>
      <c r="D61" s="314"/>
      <c r="E61" s="314"/>
      <c r="F61" s="314"/>
      <c r="G61" s="314"/>
      <c r="H61" s="314"/>
      <c r="I61" s="314"/>
      <c r="J61" s="314"/>
      <c r="K61" s="78"/>
      <c r="L61" s="78"/>
      <c r="M61" s="175"/>
    </row>
    <row r="62" spans="1:13" ht="16.5">
      <c r="A62" s="78"/>
      <c r="B62" s="315"/>
      <c r="C62" s="315"/>
      <c r="D62" s="315"/>
      <c r="E62" s="315"/>
      <c r="F62" s="315"/>
      <c r="G62" s="315"/>
      <c r="H62" s="315"/>
      <c r="I62" s="315"/>
      <c r="J62" s="315"/>
      <c r="K62" s="78"/>
      <c r="L62" s="78"/>
      <c r="M62" s="175"/>
    </row>
    <row r="63" spans="1:13" ht="19.5">
      <c r="A63" s="169" t="s">
        <v>209</v>
      </c>
      <c r="I63" s="56"/>
      <c r="J63" s="56"/>
      <c r="L63" s="52" t="s">
        <v>230</v>
      </c>
      <c r="M63" s="52">
        <f>(D70+D69)/(E69*2)</f>
        <v>0.38095238095238093</v>
      </c>
    </row>
    <row r="64" spans="1:13" ht="19.5">
      <c r="A64" s="312" t="s">
        <v>231</v>
      </c>
      <c r="B64" s="312"/>
      <c r="C64" s="312"/>
      <c r="D64" s="312"/>
      <c r="E64" s="312"/>
      <c r="F64" s="312"/>
      <c r="G64" s="17"/>
      <c r="H64" s="313"/>
      <c r="I64" s="313"/>
      <c r="J64" s="17"/>
      <c r="K64" s="17"/>
      <c r="L64" s="17"/>
      <c r="M64" s="17"/>
    </row>
    <row r="65" spans="1:13" ht="19.5">
      <c r="A65" s="72" t="s">
        <v>216</v>
      </c>
      <c r="B65" s="62" t="s">
        <v>237</v>
      </c>
      <c r="C65" s="62" t="s">
        <v>237</v>
      </c>
      <c r="D65" s="62" t="s">
        <v>234</v>
      </c>
      <c r="E65" s="62" t="s">
        <v>235</v>
      </c>
      <c r="F65" s="62" t="s">
        <v>217</v>
      </c>
      <c r="G65" s="62" t="s">
        <v>238</v>
      </c>
      <c r="H65" s="62"/>
      <c r="I65" s="62"/>
      <c r="J65" s="62"/>
      <c r="K65" s="62"/>
      <c r="L65" s="72" t="s">
        <v>222</v>
      </c>
      <c r="M65" s="62" t="s">
        <v>175</v>
      </c>
    </row>
    <row r="66" spans="1:13" ht="16.5">
      <c r="A66" s="17" t="s">
        <v>210</v>
      </c>
      <c r="B66" s="64">
        <v>1.2</v>
      </c>
      <c r="C66" s="64">
        <v>1.2</v>
      </c>
      <c r="D66" s="64">
        <v>1.5</v>
      </c>
      <c r="E66" s="64">
        <v>4.2</v>
      </c>
      <c r="F66" s="174">
        <f aca="true" t="shared" si="9" ref="F66:F71">D66/(2*E66)</f>
        <v>0.17857142857142858</v>
      </c>
      <c r="G66" s="17">
        <f>0</f>
        <v>0</v>
      </c>
      <c r="H66" s="17"/>
      <c r="I66" s="17"/>
      <c r="J66" s="17"/>
      <c r="K66" s="17"/>
      <c r="L66" s="17" t="s">
        <v>223</v>
      </c>
      <c r="M66" s="61">
        <f>B66*D66*E66/2</f>
        <v>3.78</v>
      </c>
    </row>
    <row r="67" spans="1:14" ht="16.5">
      <c r="A67" s="17" t="s">
        <v>211</v>
      </c>
      <c r="B67" s="64">
        <v>1.68</v>
      </c>
      <c r="C67" s="64">
        <v>1.2</v>
      </c>
      <c r="D67" s="64">
        <v>3.5</v>
      </c>
      <c r="E67" s="64">
        <v>4.2</v>
      </c>
      <c r="F67" s="174">
        <f t="shared" si="9"/>
        <v>0.41666666666666663</v>
      </c>
      <c r="G67" s="61">
        <f>5*B67*D67/16+5*C67*D67/16</f>
        <v>3.1500000000000004</v>
      </c>
      <c r="H67" s="17"/>
      <c r="I67" s="17"/>
      <c r="J67" s="17"/>
      <c r="K67" s="17"/>
      <c r="L67" s="17" t="s">
        <v>224</v>
      </c>
      <c r="M67" s="61">
        <f>M66+(1-2*F67*F67+F67^3)*B67*D67*E67/4+(1-2*F67*F67+F67^3)*C67*D67*E67/4</f>
        <v>11.454625</v>
      </c>
      <c r="N67" s="53">
        <f>M67/2</f>
        <v>5.7273125</v>
      </c>
    </row>
    <row r="68" spans="1:14" ht="16.5">
      <c r="A68" s="17" t="s">
        <v>212</v>
      </c>
      <c r="B68" s="64">
        <v>1.68</v>
      </c>
      <c r="C68" s="64">
        <v>1.2</v>
      </c>
      <c r="D68" s="64">
        <v>3.5</v>
      </c>
      <c r="E68" s="64">
        <v>4.2</v>
      </c>
      <c r="F68" s="174">
        <f t="shared" si="9"/>
        <v>0.41666666666666663</v>
      </c>
      <c r="G68" s="61">
        <f>5*B68*D68/16+5*C68*D68/16</f>
        <v>3.1500000000000004</v>
      </c>
      <c r="H68" s="17"/>
      <c r="I68" s="17"/>
      <c r="J68" s="17"/>
      <c r="K68" s="17"/>
      <c r="L68" s="17" t="s">
        <v>225</v>
      </c>
      <c r="M68" s="61">
        <f>(1-2*F68*F68+F68^3)*D68*E68*(C68+B68)/2</f>
        <v>15.349250000000001</v>
      </c>
      <c r="N68" s="53">
        <f>M68/2</f>
        <v>7.674625000000001</v>
      </c>
    </row>
    <row r="69" spans="1:14" ht="16.5">
      <c r="A69" s="17" t="s">
        <v>213</v>
      </c>
      <c r="B69" s="64">
        <v>1.2</v>
      </c>
      <c r="C69" s="64">
        <v>1.2</v>
      </c>
      <c r="D69" s="64">
        <v>2</v>
      </c>
      <c r="E69" s="64">
        <v>4.2</v>
      </c>
      <c r="F69" s="174">
        <f t="shared" si="9"/>
        <v>0.23809523809523808</v>
      </c>
      <c r="G69" s="17">
        <f>5*B69*(D69+D70)/16</f>
        <v>1.2000000000000002</v>
      </c>
      <c r="H69" s="17"/>
      <c r="I69" s="17"/>
      <c r="J69" s="17"/>
      <c r="K69" s="17"/>
      <c r="L69" s="17" t="s">
        <v>226</v>
      </c>
      <c r="M69" s="61">
        <f>M68/2+B69*E69/2+(1-2*M63*M63+M63^3)*3.2*4.2*3.6/4</f>
        <v>19.44850255102041</v>
      </c>
      <c r="N69" s="53">
        <f>M69/2</f>
        <v>9.724251275510206</v>
      </c>
    </row>
    <row r="70" spans="1:14" ht="16.5">
      <c r="A70" s="17" t="s">
        <v>214</v>
      </c>
      <c r="B70" s="64">
        <v>1.2</v>
      </c>
      <c r="C70" s="64">
        <v>1.2</v>
      </c>
      <c r="D70" s="64">
        <v>1.2</v>
      </c>
      <c r="E70" s="64">
        <v>4.2</v>
      </c>
      <c r="F70" s="174">
        <f t="shared" si="9"/>
        <v>0.14285714285714285</v>
      </c>
      <c r="G70" s="17">
        <f>5*B70*(D70+D69)/16</f>
        <v>1.2000000000000002</v>
      </c>
      <c r="H70" s="17"/>
      <c r="I70" s="17"/>
      <c r="J70" s="17"/>
      <c r="K70" s="17"/>
      <c r="L70" s="17" t="s">
        <v>227</v>
      </c>
      <c r="M70" s="61">
        <f>B69*D69*E69/4</f>
        <v>2.52</v>
      </c>
      <c r="N70" s="53">
        <f>M70/2</f>
        <v>1.26</v>
      </c>
    </row>
    <row r="71" spans="1:14" ht="16.5">
      <c r="A71" s="17" t="s">
        <v>215</v>
      </c>
      <c r="B71" s="64">
        <v>1.2</v>
      </c>
      <c r="C71" s="64">
        <v>1.2</v>
      </c>
      <c r="D71" s="64">
        <v>1.2</v>
      </c>
      <c r="E71" s="64">
        <v>4.2</v>
      </c>
      <c r="F71" s="174">
        <f t="shared" si="9"/>
        <v>0.14285714285714285</v>
      </c>
      <c r="G71" s="17">
        <v>0</v>
      </c>
      <c r="H71" s="17"/>
      <c r="I71" s="17"/>
      <c r="J71" s="17"/>
      <c r="K71" s="17"/>
      <c r="L71" s="17" t="s">
        <v>228</v>
      </c>
      <c r="M71" s="61">
        <f>(1-2*M63*M63+M63^3)*3.2*E70*B71/4+B71*D71*E71/4</f>
        <v>4.5966258503401365</v>
      </c>
      <c r="N71" s="53">
        <f>M71/2</f>
        <v>2.2983129251700682</v>
      </c>
    </row>
    <row r="72" spans="1:13" ht="16.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 t="s">
        <v>229</v>
      </c>
      <c r="M72" s="61">
        <f>B71*D71*E71/4</f>
        <v>1.512</v>
      </c>
    </row>
    <row r="73" spans="1:13" ht="19.5">
      <c r="A73" s="169" t="s">
        <v>239</v>
      </c>
      <c r="I73" s="56"/>
      <c r="J73" s="56"/>
      <c r="L73" s="52" t="s">
        <v>230</v>
      </c>
      <c r="M73" s="52">
        <f>(D79+D80)/(E79*2)</f>
        <v>0.38095238095238093</v>
      </c>
    </row>
    <row r="74" spans="1:13" ht="19.5">
      <c r="A74" s="312" t="s">
        <v>231</v>
      </c>
      <c r="B74" s="312"/>
      <c r="C74" s="312"/>
      <c r="D74" s="312"/>
      <c r="E74" s="312"/>
      <c r="F74" s="312"/>
      <c r="G74" s="17"/>
      <c r="H74" s="313"/>
      <c r="I74" s="313"/>
      <c r="J74" s="17"/>
      <c r="K74" s="17"/>
      <c r="L74" s="17"/>
      <c r="M74" s="17"/>
    </row>
    <row r="75" spans="1:13" ht="19.5">
      <c r="A75" s="72" t="s">
        <v>216</v>
      </c>
      <c r="B75" s="62" t="s">
        <v>237</v>
      </c>
      <c r="C75" s="62" t="s">
        <v>237</v>
      </c>
      <c r="D75" s="62" t="s">
        <v>234</v>
      </c>
      <c r="E75" s="62" t="s">
        <v>235</v>
      </c>
      <c r="F75" s="62" t="s">
        <v>217</v>
      </c>
      <c r="G75" s="62" t="s">
        <v>238</v>
      </c>
      <c r="H75" s="62"/>
      <c r="I75" s="62"/>
      <c r="J75" s="62"/>
      <c r="K75" s="62"/>
      <c r="L75" s="72" t="s">
        <v>246</v>
      </c>
      <c r="M75" s="62"/>
    </row>
    <row r="76" spans="1:13" ht="16.5">
      <c r="A76" s="17" t="s">
        <v>210</v>
      </c>
      <c r="B76" s="64">
        <v>1.2</v>
      </c>
      <c r="C76" s="64">
        <v>1.2</v>
      </c>
      <c r="D76" s="64">
        <v>1.5</v>
      </c>
      <c r="E76" s="64">
        <v>4.2</v>
      </c>
      <c r="F76" s="174">
        <f aca="true" t="shared" si="10" ref="F76:F81">D76/(2*E76)</f>
        <v>0.17857142857142858</v>
      </c>
      <c r="G76" s="17">
        <f>0</f>
        <v>0</v>
      </c>
      <c r="H76" s="17"/>
      <c r="I76" s="17"/>
      <c r="J76" s="17"/>
      <c r="K76" s="17"/>
      <c r="L76" s="17" t="s">
        <v>243</v>
      </c>
      <c r="M76" s="61">
        <f>B76*D76*E76/2</f>
        <v>3.78</v>
      </c>
    </row>
    <row r="77" spans="1:14" ht="16.5">
      <c r="A77" s="17" t="s">
        <v>211</v>
      </c>
      <c r="B77" s="64">
        <v>1.2</v>
      </c>
      <c r="C77" s="64">
        <v>8.25</v>
      </c>
      <c r="D77" s="64">
        <v>3.5</v>
      </c>
      <c r="E77" s="64">
        <v>4.2</v>
      </c>
      <c r="F77" s="174">
        <f t="shared" si="10"/>
        <v>0.41666666666666663</v>
      </c>
      <c r="G77" s="61">
        <f>5*B77*D77/16+5*C77*D77/16</f>
        <v>10.3359375</v>
      </c>
      <c r="H77" s="17"/>
      <c r="I77" s="17"/>
      <c r="J77" s="17"/>
      <c r="K77" s="17"/>
      <c r="L77" s="17" t="s">
        <v>5</v>
      </c>
      <c r="M77" s="61">
        <f>M76+(1-2*F77*F77+F77^3)*B77*D77*E77/4+(1-2*F77*F77+F77^3)*C77*D77*E77/4</f>
        <v>28.96236328125</v>
      </c>
      <c r="N77" s="53">
        <f>M77/2</f>
        <v>14.481181640625</v>
      </c>
    </row>
    <row r="78" spans="1:14" ht="16.5">
      <c r="A78" s="17" t="s">
        <v>212</v>
      </c>
      <c r="B78" s="64">
        <v>1.2</v>
      </c>
      <c r="C78" s="64">
        <v>8.25</v>
      </c>
      <c r="D78" s="64">
        <v>3.5</v>
      </c>
      <c r="E78" s="64">
        <v>4.2</v>
      </c>
      <c r="F78" s="174">
        <f t="shared" si="10"/>
        <v>0.41666666666666663</v>
      </c>
      <c r="G78" s="61">
        <f>5*B78*D78/16+5*C78*D78/16</f>
        <v>10.3359375</v>
      </c>
      <c r="H78" s="17"/>
      <c r="I78" s="17"/>
      <c r="J78" s="17"/>
      <c r="K78" s="17"/>
      <c r="L78" s="17" t="s">
        <v>2</v>
      </c>
      <c r="M78" s="61">
        <f>(1-2*F78*F78+F78^3)*D78*E78*(C78+B78)/2</f>
        <v>50.3647265625</v>
      </c>
      <c r="N78" s="53">
        <f>M78/2</f>
        <v>25.18236328125</v>
      </c>
    </row>
    <row r="79" spans="1:14" ht="16.5">
      <c r="A79" s="17" t="s">
        <v>213</v>
      </c>
      <c r="B79" s="64">
        <v>1.2</v>
      </c>
      <c r="C79" s="64">
        <v>1.2</v>
      </c>
      <c r="D79" s="64">
        <v>2</v>
      </c>
      <c r="E79" s="64">
        <v>4.2</v>
      </c>
      <c r="F79" s="174">
        <f t="shared" si="10"/>
        <v>0.23809523809523808</v>
      </c>
      <c r="G79" s="17">
        <f>5*B79*(D79+D80)/16</f>
        <v>1.2000000000000002</v>
      </c>
      <c r="H79" s="17"/>
      <c r="I79" s="17"/>
      <c r="J79" s="17"/>
      <c r="K79" s="17"/>
      <c r="L79" s="17" t="s">
        <v>3</v>
      </c>
      <c r="M79" s="61">
        <f>M78/2+B79*E79/2+(1-2*M73*M73+M73^3)*3.2*4.2*3.6/4</f>
        <v>36.95624083227041</v>
      </c>
      <c r="N79" s="53">
        <f>M79/2</f>
        <v>18.478120416135205</v>
      </c>
    </row>
    <row r="80" spans="1:14" ht="16.5">
      <c r="A80" s="17" t="s">
        <v>214</v>
      </c>
      <c r="B80" s="64">
        <v>1.2</v>
      </c>
      <c r="C80" s="64">
        <v>1.2</v>
      </c>
      <c r="D80" s="64">
        <v>1.2</v>
      </c>
      <c r="E80" s="64">
        <v>4.2</v>
      </c>
      <c r="F80" s="174">
        <f t="shared" si="10"/>
        <v>0.14285714285714285</v>
      </c>
      <c r="G80" s="17">
        <f>5*B80*(D80+D79)/16</f>
        <v>1.2000000000000002</v>
      </c>
      <c r="H80" s="17"/>
      <c r="I80" s="17"/>
      <c r="J80" s="17"/>
      <c r="K80" s="17"/>
      <c r="L80" s="17" t="s">
        <v>4</v>
      </c>
      <c r="M80" s="61">
        <f>B79*D79*E79/4</f>
        <v>2.52</v>
      </c>
      <c r="N80" s="53">
        <f>M80/2</f>
        <v>1.26</v>
      </c>
    </row>
    <row r="81" spans="1:14" ht="16.5">
      <c r="A81" s="17" t="s">
        <v>215</v>
      </c>
      <c r="B81" s="64">
        <v>1.2</v>
      </c>
      <c r="C81" s="64">
        <v>1.2</v>
      </c>
      <c r="D81" s="64">
        <v>1.2</v>
      </c>
      <c r="E81" s="64">
        <v>4.2</v>
      </c>
      <c r="F81" s="174">
        <f t="shared" si="10"/>
        <v>0.14285714285714285</v>
      </c>
      <c r="G81" s="17">
        <v>0</v>
      </c>
      <c r="H81" s="17"/>
      <c r="I81" s="17"/>
      <c r="J81" s="17"/>
      <c r="K81" s="17"/>
      <c r="L81" s="17" t="s">
        <v>244</v>
      </c>
      <c r="M81" s="61">
        <f>(1-2*M73*M73+M73^3)*3.2*E80*B81/4+B81*D81*E81/4</f>
        <v>4.5966258503401365</v>
      </c>
      <c r="N81" s="53">
        <f>M81/2</f>
        <v>2.2983129251700682</v>
      </c>
    </row>
    <row r="82" spans="1:13" ht="16.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 t="s">
        <v>245</v>
      </c>
      <c r="M82" s="61">
        <f>B81*D81*E81/4</f>
        <v>1.512</v>
      </c>
    </row>
    <row r="83" spans="1:13" ht="19.5">
      <c r="A83" s="169" t="s">
        <v>240</v>
      </c>
      <c r="I83" s="56"/>
      <c r="J83" s="56"/>
      <c r="L83" s="52" t="s">
        <v>230</v>
      </c>
      <c r="M83" s="52">
        <f>(D90+D89)/(2*E89)</f>
        <v>0.38095238095238093</v>
      </c>
    </row>
    <row r="84" spans="1:13" ht="19.5">
      <c r="A84" s="312" t="s">
        <v>231</v>
      </c>
      <c r="B84" s="312"/>
      <c r="C84" s="312"/>
      <c r="D84" s="312"/>
      <c r="E84" s="312"/>
      <c r="F84" s="312"/>
      <c r="G84" s="17"/>
      <c r="H84" s="313"/>
      <c r="I84" s="313"/>
      <c r="J84" s="17"/>
      <c r="K84" s="17"/>
      <c r="L84" s="17"/>
      <c r="M84" s="17"/>
    </row>
    <row r="85" spans="1:13" ht="19.5">
      <c r="A85" s="72" t="s">
        <v>216</v>
      </c>
      <c r="B85" s="62" t="s">
        <v>237</v>
      </c>
      <c r="C85" s="62" t="s">
        <v>237</v>
      </c>
      <c r="D85" s="62" t="s">
        <v>234</v>
      </c>
      <c r="E85" s="62" t="s">
        <v>235</v>
      </c>
      <c r="F85" s="62" t="s">
        <v>217</v>
      </c>
      <c r="G85" s="62" t="s">
        <v>238</v>
      </c>
      <c r="H85" s="62"/>
      <c r="I85" s="62"/>
      <c r="J85" s="62"/>
      <c r="K85" s="62"/>
      <c r="L85" s="72" t="s">
        <v>222</v>
      </c>
      <c r="M85" s="62" t="s">
        <v>175</v>
      </c>
    </row>
    <row r="86" spans="1:13" ht="16.5">
      <c r="A86" s="17" t="s">
        <v>210</v>
      </c>
      <c r="B86" s="66">
        <v>0.75</v>
      </c>
      <c r="C86" s="66">
        <v>0.75</v>
      </c>
      <c r="D86" s="64">
        <v>2.1</v>
      </c>
      <c r="E86" s="64">
        <v>4.2</v>
      </c>
      <c r="F86" s="174">
        <f aca="true" t="shared" si="11" ref="F86:F91">D86/(2*E86)</f>
        <v>0.25</v>
      </c>
      <c r="G86" s="17"/>
      <c r="H86" s="17"/>
      <c r="I86" s="17"/>
      <c r="J86" s="17"/>
      <c r="K86" s="17"/>
      <c r="L86" s="17" t="s">
        <v>241</v>
      </c>
      <c r="M86" s="61">
        <f>B86*D86*E86/2</f>
        <v>3.3075000000000006</v>
      </c>
    </row>
    <row r="87" spans="1:14" ht="16.5">
      <c r="A87" s="17" t="s">
        <v>211</v>
      </c>
      <c r="B87" s="66">
        <v>0.75</v>
      </c>
      <c r="C87" s="66">
        <v>0.75</v>
      </c>
      <c r="D87" s="64">
        <v>3.5</v>
      </c>
      <c r="E87" s="64">
        <v>4.2</v>
      </c>
      <c r="F87" s="174">
        <f t="shared" si="11"/>
        <v>0.41666666666666663</v>
      </c>
      <c r="G87" s="17"/>
      <c r="H87" s="17"/>
      <c r="I87" s="17"/>
      <c r="J87" s="17"/>
      <c r="K87" s="17"/>
      <c r="L87" s="17" t="s">
        <v>224</v>
      </c>
      <c r="M87" s="61">
        <f>M86+(1-2*F87*F87+F87^3)*B87*D87*E87/4+(1-2*F87*F87+F87^3)*C87*D87*E87/4</f>
        <v>7.304700520833334</v>
      </c>
      <c r="N87" s="53">
        <f>M87/2</f>
        <v>3.652350260416667</v>
      </c>
    </row>
    <row r="88" spans="1:14" ht="16.5">
      <c r="A88" s="17" t="s">
        <v>212</v>
      </c>
      <c r="B88" s="66">
        <v>0.75</v>
      </c>
      <c r="C88" s="66">
        <v>0.75</v>
      </c>
      <c r="D88" s="64">
        <v>3.5</v>
      </c>
      <c r="E88" s="64">
        <v>4.2</v>
      </c>
      <c r="F88" s="174">
        <f t="shared" si="11"/>
        <v>0.41666666666666663</v>
      </c>
      <c r="G88" s="17"/>
      <c r="H88" s="17"/>
      <c r="I88" s="17"/>
      <c r="J88" s="17"/>
      <c r="K88" s="17"/>
      <c r="L88" s="17" t="s">
        <v>225</v>
      </c>
      <c r="M88" s="61">
        <f>(1-2*F88*F88+F88^3)*D88*E88*(C88+B88)/2</f>
        <v>7.994401041666668</v>
      </c>
      <c r="N88" s="53">
        <f>M88/2</f>
        <v>3.997200520833334</v>
      </c>
    </row>
    <row r="89" spans="1:14" ht="16.5">
      <c r="A89" s="17" t="s">
        <v>213</v>
      </c>
      <c r="B89" s="66">
        <v>0.75</v>
      </c>
      <c r="C89" s="66">
        <v>0.75</v>
      </c>
      <c r="D89" s="64">
        <v>2</v>
      </c>
      <c r="E89" s="64">
        <v>4.2</v>
      </c>
      <c r="F89" s="174">
        <f t="shared" si="11"/>
        <v>0.23809523809523808</v>
      </c>
      <c r="G89" s="17"/>
      <c r="H89" s="17"/>
      <c r="I89" s="17"/>
      <c r="J89" s="17"/>
      <c r="K89" s="17"/>
      <c r="L89" s="17" t="s">
        <v>226</v>
      </c>
      <c r="M89" s="61">
        <f>M88/2+B89*E89/2+(1-2*M83*M83+M83^3)*3.2*4.2*3.6/4</f>
        <v>14.826078071853745</v>
      </c>
      <c r="N89" s="53">
        <f>M89/2</f>
        <v>7.4130390359268725</v>
      </c>
    </row>
    <row r="90" spans="1:14" ht="16.5">
      <c r="A90" s="17" t="s">
        <v>214</v>
      </c>
      <c r="B90" s="66">
        <v>0.75</v>
      </c>
      <c r="C90" s="66">
        <v>0.75</v>
      </c>
      <c r="D90" s="64">
        <v>1.2</v>
      </c>
      <c r="E90" s="64">
        <v>4.2</v>
      </c>
      <c r="F90" s="174">
        <f t="shared" si="11"/>
        <v>0.14285714285714285</v>
      </c>
      <c r="G90" s="17"/>
      <c r="H90" s="17"/>
      <c r="I90" s="17"/>
      <c r="J90" s="17"/>
      <c r="K90" s="17"/>
      <c r="L90" s="17" t="s">
        <v>227</v>
      </c>
      <c r="M90" s="61">
        <f>B89*D89*E89/4</f>
        <v>1.5750000000000002</v>
      </c>
      <c r="N90" s="53">
        <f>M90/2</f>
        <v>0.7875000000000001</v>
      </c>
    </row>
    <row r="91" spans="1:14" ht="16.5">
      <c r="A91" s="17" t="s">
        <v>215</v>
      </c>
      <c r="B91" s="66">
        <v>0.75</v>
      </c>
      <c r="C91" s="66">
        <v>0.75</v>
      </c>
      <c r="D91" s="64">
        <v>1.8</v>
      </c>
      <c r="E91" s="64">
        <v>4.2</v>
      </c>
      <c r="F91" s="174">
        <f t="shared" si="11"/>
        <v>0.21428571428571427</v>
      </c>
      <c r="G91" s="17"/>
      <c r="H91" s="17"/>
      <c r="I91" s="17"/>
      <c r="J91" s="17"/>
      <c r="K91" s="17"/>
      <c r="L91" s="17" t="s">
        <v>228</v>
      </c>
      <c r="M91" s="61">
        <f>(1-2*M83*M83+M83^3)*3.2*E90*B91/4+B91*D91*E91/4</f>
        <v>3.3453911564625853</v>
      </c>
      <c r="N91" s="53">
        <f>M91/2</f>
        <v>1.6726955782312927</v>
      </c>
    </row>
    <row r="92" spans="1:13" ht="16.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 t="s">
        <v>242</v>
      </c>
      <c r="M92" s="61">
        <f>B91*D91*E91/4</f>
        <v>1.4175000000000002</v>
      </c>
    </row>
  </sheetData>
  <mergeCells count="23">
    <mergeCell ref="J46:J48"/>
    <mergeCell ref="A43:F43"/>
    <mergeCell ref="G43:H43"/>
    <mergeCell ref="G44:H44"/>
    <mergeCell ref="A24:F24"/>
    <mergeCell ref="G24:H24"/>
    <mergeCell ref="G25:H25"/>
    <mergeCell ref="A33:F33"/>
    <mergeCell ref="H33:I33"/>
    <mergeCell ref="B61:J62"/>
    <mergeCell ref="A74:F74"/>
    <mergeCell ref="H74:I74"/>
    <mergeCell ref="A5:F5"/>
    <mergeCell ref="G6:H6"/>
    <mergeCell ref="A14:F14"/>
    <mergeCell ref="H14:I14"/>
    <mergeCell ref="G5:H5"/>
    <mergeCell ref="A52:F52"/>
    <mergeCell ref="H52:I52"/>
    <mergeCell ref="A84:F84"/>
    <mergeCell ref="H84:I84"/>
    <mergeCell ref="A64:F64"/>
    <mergeCell ref="H64:I6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userVT</dc:creator>
  <cp:keywords/>
  <dc:description/>
  <cp:lastModifiedBy>Administrator</cp:lastModifiedBy>
  <dcterms:created xsi:type="dcterms:W3CDTF">2008-10-29T12:37:09Z</dcterms:created>
  <dcterms:modified xsi:type="dcterms:W3CDTF">2009-07-10T20:53:10Z</dcterms:modified>
  <cp:category/>
  <cp:version/>
  <cp:contentType/>
  <cp:contentStatus/>
</cp:coreProperties>
</file>